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ACTIONS FORMATIONS\MQS formation IDEC CDS\2021\MODULE 1\2 PENDANT LE MODULE\"/>
    </mc:Choice>
  </mc:AlternateContent>
  <xr:revisionPtr revIDLastSave="0" documentId="13_ncr:1_{AEA3434D-3E69-492F-9DE1-78F5370966D7}" xr6:coauthVersionLast="46" xr6:coauthVersionMax="46" xr10:uidLastSave="{00000000-0000-0000-0000-000000000000}"/>
  <bookViews>
    <workbookView xWindow="-108" yWindow="-108" windowWidth="23256" windowHeight="12576" tabRatio="746" activeTab="4" xr2:uid="{00000000-000D-0000-FFFF-FFFF00000000}"/>
  </bookViews>
  <sheets>
    <sheet name="intro" sheetId="1" r:id="rId1"/>
    <sheet name="ex1 calcul ETP 1" sheetId="2" r:id="rId2"/>
    <sheet name="ex2 calcul ETP 2" sheetId="3" r:id="rId3"/>
    <sheet name="ex constitution eq" sheetId="4" r:id="rId4"/>
    <sheet name="ex calculs auto rpct" sheetId="5" r:id="rId5"/>
    <sheet name="ex équité" sheetId="7" r:id="rId6"/>
    <sheet name="ex calcul pr grille base" sheetId="8" r:id="rId7"/>
    <sheet name="ex grille base" sheetId="9" r:id="rId8"/>
    <sheet name="ex drlt cycle 1" sheetId="11" r:id="rId9"/>
    <sheet name="ex drlt cycle 2" sheetId="10" r:id="rId10"/>
    <sheet name="ex DA1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7" i="5" l="1"/>
  <c r="I190" i="5"/>
  <c r="J188" i="5"/>
  <c r="F199" i="5"/>
  <c r="F198" i="5"/>
  <c r="I34" i="2" l="1"/>
  <c r="G17" i="7" l="1"/>
  <c r="G11" i="7" l="1"/>
  <c r="E198" i="5"/>
  <c r="F186" i="5"/>
  <c r="G186" i="5"/>
  <c r="F32" i="3"/>
  <c r="F33" i="3"/>
  <c r="F34" i="3"/>
  <c r="F35" i="3"/>
  <c r="F36" i="3"/>
  <c r="G31" i="3" s="1"/>
  <c r="H36" i="3" s="1"/>
  <c r="I36" i="3" s="1"/>
  <c r="F31" i="3"/>
  <c r="J171" i="5" l="1"/>
  <c r="AT28" i="11" l="1"/>
  <c r="AS28" i="11"/>
  <c r="AM28" i="11"/>
  <c r="AL28" i="11"/>
  <c r="AF28" i="11"/>
  <c r="AE28" i="11"/>
  <c r="Y28" i="11"/>
  <c r="X28" i="11"/>
  <c r="R28" i="11"/>
  <c r="Q28" i="11"/>
  <c r="K28" i="11"/>
  <c r="J28" i="11"/>
  <c r="AT27" i="11"/>
  <c r="AS27" i="11"/>
  <c r="AM27" i="11"/>
  <c r="AL27" i="11"/>
  <c r="AF27" i="11"/>
  <c r="AE27" i="11"/>
  <c r="Y27" i="11"/>
  <c r="X27" i="11"/>
  <c r="R27" i="11"/>
  <c r="Q27" i="11"/>
  <c r="K27" i="11"/>
  <c r="J27" i="11"/>
  <c r="AT26" i="11"/>
  <c r="AS26" i="11"/>
  <c r="AM26" i="11"/>
  <c r="AL26" i="11"/>
  <c r="AF26" i="11"/>
  <c r="AE26" i="11"/>
  <c r="Y26" i="11"/>
  <c r="X26" i="11"/>
  <c r="R26" i="11"/>
  <c r="Q26" i="11"/>
  <c r="K26" i="11"/>
  <c r="J26" i="11"/>
  <c r="AR25" i="11"/>
  <c r="AQ25" i="11"/>
  <c r="AP25" i="11"/>
  <c r="AO25" i="11"/>
  <c r="AN25" i="11"/>
  <c r="AK25" i="11"/>
  <c r="AJ25" i="11"/>
  <c r="AI25" i="11"/>
  <c r="AH25" i="11"/>
  <c r="AG25" i="11"/>
  <c r="AD25" i="11"/>
  <c r="AC25" i="11"/>
  <c r="AB25" i="11"/>
  <c r="AA25" i="11"/>
  <c r="Z25" i="11"/>
  <c r="W25" i="11"/>
  <c r="V25" i="11"/>
  <c r="U25" i="11"/>
  <c r="T25" i="11"/>
  <c r="S25" i="11"/>
  <c r="P25" i="11"/>
  <c r="O25" i="11"/>
  <c r="N25" i="11"/>
  <c r="M25" i="11"/>
  <c r="L25" i="11"/>
  <c r="I25" i="11"/>
  <c r="H25" i="11"/>
  <c r="G25" i="11"/>
  <c r="F25" i="11"/>
  <c r="E25" i="11"/>
  <c r="AR24" i="11"/>
  <c r="AQ24" i="11"/>
  <c r="AP24" i="11"/>
  <c r="AO24" i="11"/>
  <c r="AN24" i="11"/>
  <c r="AK24" i="11"/>
  <c r="AJ24" i="11"/>
  <c r="AI24" i="11"/>
  <c r="AH24" i="11"/>
  <c r="AG24" i="11"/>
  <c r="AD24" i="11"/>
  <c r="AC24" i="11"/>
  <c r="AB24" i="11"/>
  <c r="AA24" i="11"/>
  <c r="Z24" i="11"/>
  <c r="W24" i="11"/>
  <c r="V24" i="11"/>
  <c r="U24" i="11"/>
  <c r="T24" i="11"/>
  <c r="S24" i="11"/>
  <c r="P24" i="11"/>
  <c r="O24" i="11"/>
  <c r="N24" i="11"/>
  <c r="M24" i="11"/>
  <c r="L24" i="11"/>
  <c r="I24" i="11"/>
  <c r="H24" i="11"/>
  <c r="G24" i="11"/>
  <c r="F24" i="11"/>
  <c r="E24" i="11"/>
  <c r="AR23" i="11"/>
  <c r="AQ23" i="11"/>
  <c r="AP23" i="11"/>
  <c r="AO23" i="11"/>
  <c r="AN23" i="11"/>
  <c r="AK23" i="11"/>
  <c r="AJ23" i="11"/>
  <c r="AI23" i="11"/>
  <c r="AH23" i="11"/>
  <c r="AG23" i="11"/>
  <c r="AD23" i="11"/>
  <c r="AC23" i="11"/>
  <c r="AB23" i="11"/>
  <c r="AA23" i="11"/>
  <c r="Z23" i="11"/>
  <c r="W23" i="11"/>
  <c r="V23" i="11"/>
  <c r="U23" i="11"/>
  <c r="T23" i="11"/>
  <c r="S23" i="11"/>
  <c r="P23" i="11"/>
  <c r="O23" i="11"/>
  <c r="N23" i="11"/>
  <c r="M23" i="11"/>
  <c r="L23" i="11"/>
  <c r="I23" i="11"/>
  <c r="H23" i="11"/>
  <c r="G23" i="11"/>
  <c r="F23" i="11"/>
  <c r="E23" i="11"/>
  <c r="AR22" i="11"/>
  <c r="AQ22" i="11"/>
  <c r="AP22" i="11"/>
  <c r="AO22" i="11"/>
  <c r="AN22" i="11"/>
  <c r="AK22" i="11"/>
  <c r="AJ22" i="11"/>
  <c r="AI22" i="11"/>
  <c r="AH22" i="11"/>
  <c r="AG22" i="11"/>
  <c r="AD22" i="11"/>
  <c r="AC22" i="11"/>
  <c r="AB22" i="11"/>
  <c r="AA22" i="11"/>
  <c r="Z22" i="11"/>
  <c r="W22" i="11"/>
  <c r="V22" i="11"/>
  <c r="U22" i="11"/>
  <c r="T22" i="11"/>
  <c r="S22" i="11"/>
  <c r="P22" i="11"/>
  <c r="O22" i="11"/>
  <c r="N22" i="11"/>
  <c r="M22" i="11"/>
  <c r="L22" i="11"/>
  <c r="I22" i="11"/>
  <c r="H22" i="11"/>
  <c r="G22" i="11"/>
  <c r="F22" i="11"/>
  <c r="E22" i="11"/>
  <c r="AR21" i="11"/>
  <c r="AQ21" i="11"/>
  <c r="AP21" i="11"/>
  <c r="AO21" i="11"/>
  <c r="AN21" i="11"/>
  <c r="AK21" i="11"/>
  <c r="AJ21" i="11"/>
  <c r="AI21" i="11"/>
  <c r="AH21" i="11"/>
  <c r="AG21" i="11"/>
  <c r="AD21" i="11"/>
  <c r="AC21" i="11"/>
  <c r="AB21" i="11"/>
  <c r="AA21" i="11"/>
  <c r="Z21" i="11"/>
  <c r="W21" i="11"/>
  <c r="V21" i="11"/>
  <c r="U21" i="11"/>
  <c r="T21" i="11"/>
  <c r="S21" i="11"/>
  <c r="P21" i="11"/>
  <c r="O21" i="11"/>
  <c r="N21" i="11"/>
  <c r="M21" i="11"/>
  <c r="L21" i="11"/>
  <c r="I21" i="11"/>
  <c r="H21" i="11"/>
  <c r="G21" i="11"/>
  <c r="F21" i="11"/>
  <c r="E21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BE19" i="11"/>
  <c r="BD19" i="11"/>
  <c r="BD20" i="11" s="1"/>
  <c r="BC18" i="11"/>
  <c r="BB18" i="11"/>
  <c r="BA18" i="11"/>
  <c r="AY18" i="11"/>
  <c r="AX18" i="11"/>
  <c r="AW18" i="11"/>
  <c r="AV18" i="11"/>
  <c r="AU18" i="11"/>
  <c r="BE17" i="11"/>
  <c r="BD17" i="11"/>
  <c r="BF17" i="11" s="1"/>
  <c r="BG17" i="11" s="1"/>
  <c r="BC16" i="11"/>
  <c r="BB16" i="11"/>
  <c r="BA16" i="11"/>
  <c r="AY16" i="11"/>
  <c r="AX16" i="11"/>
  <c r="AW16" i="11"/>
  <c r="AV16" i="11"/>
  <c r="AU16" i="11"/>
  <c r="BE15" i="11"/>
  <c r="BD15" i="11"/>
  <c r="BC14" i="11"/>
  <c r="BB14" i="11"/>
  <c r="BA14" i="11"/>
  <c r="AY14" i="11"/>
  <c r="AX14" i="11"/>
  <c r="AW14" i="11"/>
  <c r="AV14" i="11"/>
  <c r="AU14" i="11"/>
  <c r="BE13" i="11"/>
  <c r="BD13" i="11"/>
  <c r="BC12" i="11"/>
  <c r="BB12" i="11"/>
  <c r="BA12" i="11"/>
  <c r="AY12" i="11"/>
  <c r="AX12" i="11"/>
  <c r="AW12" i="11"/>
  <c r="AV12" i="11"/>
  <c r="AU12" i="11"/>
  <c r="BE11" i="11"/>
  <c r="BD11" i="11"/>
  <c r="BC10" i="11"/>
  <c r="BB10" i="11"/>
  <c r="BA10" i="11"/>
  <c r="AY10" i="11"/>
  <c r="AX10" i="11"/>
  <c r="AW10" i="11"/>
  <c r="AV10" i="11"/>
  <c r="AU10" i="11"/>
  <c r="BE9" i="11"/>
  <c r="BD9" i="11"/>
  <c r="BC8" i="11"/>
  <c r="BB8" i="11"/>
  <c r="BA8" i="11"/>
  <c r="BA20" i="11" s="1"/>
  <c r="AY8" i="11"/>
  <c r="AX8" i="11"/>
  <c r="AX20" i="11" s="1"/>
  <c r="AW8" i="11"/>
  <c r="AV8" i="11"/>
  <c r="AU8" i="11"/>
  <c r="AT28" i="10"/>
  <c r="AS28" i="10"/>
  <c r="AM28" i="10"/>
  <c r="AL28" i="10"/>
  <c r="AF28" i="10"/>
  <c r="AE28" i="10"/>
  <c r="Y28" i="10"/>
  <c r="X28" i="10"/>
  <c r="R28" i="10"/>
  <c r="Q28" i="10"/>
  <c r="K28" i="10"/>
  <c r="J28" i="10"/>
  <c r="AT27" i="10"/>
  <c r="AS27" i="10"/>
  <c r="AM27" i="10"/>
  <c r="AL27" i="10"/>
  <c r="AF27" i="10"/>
  <c r="AE27" i="10"/>
  <c r="Y27" i="10"/>
  <c r="X27" i="10"/>
  <c r="R27" i="10"/>
  <c r="Q27" i="10"/>
  <c r="K27" i="10"/>
  <c r="J27" i="10"/>
  <c r="AT26" i="10"/>
  <c r="AS26" i="10"/>
  <c r="AM26" i="10"/>
  <c r="AL26" i="10"/>
  <c r="AF26" i="10"/>
  <c r="AE26" i="10"/>
  <c r="Y26" i="10"/>
  <c r="X26" i="10"/>
  <c r="R26" i="10"/>
  <c r="Q26" i="10"/>
  <c r="K26" i="10"/>
  <c r="J26" i="10"/>
  <c r="AR25" i="10"/>
  <c r="AQ25" i="10"/>
  <c r="AP25" i="10"/>
  <c r="AO25" i="10"/>
  <c r="AN25" i="10"/>
  <c r="AK25" i="10"/>
  <c r="AJ25" i="10"/>
  <c r="AI25" i="10"/>
  <c r="AH25" i="10"/>
  <c r="AG25" i="10"/>
  <c r="AD25" i="10"/>
  <c r="AC25" i="10"/>
  <c r="AB25" i="10"/>
  <c r="AA25" i="10"/>
  <c r="Z25" i="10"/>
  <c r="W25" i="10"/>
  <c r="V25" i="10"/>
  <c r="U25" i="10"/>
  <c r="T25" i="10"/>
  <c r="S25" i="10"/>
  <c r="P25" i="10"/>
  <c r="O25" i="10"/>
  <c r="N25" i="10"/>
  <c r="M25" i="10"/>
  <c r="L25" i="10"/>
  <c r="I25" i="10"/>
  <c r="H25" i="10"/>
  <c r="G25" i="10"/>
  <c r="F25" i="10"/>
  <c r="E25" i="10"/>
  <c r="AR24" i="10"/>
  <c r="AQ24" i="10"/>
  <c r="AP24" i="10"/>
  <c r="AO24" i="10"/>
  <c r="AN24" i="10"/>
  <c r="AK24" i="10"/>
  <c r="AJ24" i="10"/>
  <c r="AI24" i="10"/>
  <c r="AH24" i="10"/>
  <c r="AG24" i="10"/>
  <c r="AD24" i="10"/>
  <c r="AC24" i="10"/>
  <c r="AB24" i="10"/>
  <c r="AA24" i="10"/>
  <c r="Z24" i="10"/>
  <c r="W24" i="10"/>
  <c r="V24" i="10"/>
  <c r="U24" i="10"/>
  <c r="T24" i="10"/>
  <c r="S24" i="10"/>
  <c r="P24" i="10"/>
  <c r="O24" i="10"/>
  <c r="N24" i="10"/>
  <c r="M24" i="10"/>
  <c r="L24" i="10"/>
  <c r="I24" i="10"/>
  <c r="H24" i="10"/>
  <c r="G24" i="10"/>
  <c r="F24" i="10"/>
  <c r="E24" i="10"/>
  <c r="AR23" i="10"/>
  <c r="AQ23" i="10"/>
  <c r="AP23" i="10"/>
  <c r="AO23" i="10"/>
  <c r="AN23" i="10"/>
  <c r="AK23" i="10"/>
  <c r="AJ23" i="10"/>
  <c r="AI23" i="10"/>
  <c r="AH23" i="10"/>
  <c r="AG23" i="10"/>
  <c r="AD23" i="10"/>
  <c r="AC23" i="10"/>
  <c r="AB23" i="10"/>
  <c r="AA23" i="10"/>
  <c r="Z23" i="10"/>
  <c r="W23" i="10"/>
  <c r="V23" i="10"/>
  <c r="U23" i="10"/>
  <c r="T23" i="10"/>
  <c r="S23" i="10"/>
  <c r="P23" i="10"/>
  <c r="O23" i="10"/>
  <c r="N23" i="10"/>
  <c r="M23" i="10"/>
  <c r="L23" i="10"/>
  <c r="I23" i="10"/>
  <c r="H23" i="10"/>
  <c r="G23" i="10"/>
  <c r="F23" i="10"/>
  <c r="E23" i="10"/>
  <c r="AR22" i="10"/>
  <c r="AQ22" i="10"/>
  <c r="AP22" i="10"/>
  <c r="AO22" i="10"/>
  <c r="AN22" i="10"/>
  <c r="AK22" i="10"/>
  <c r="AJ22" i="10"/>
  <c r="AI22" i="10"/>
  <c r="AH22" i="10"/>
  <c r="AG22" i="10"/>
  <c r="AD22" i="10"/>
  <c r="AC22" i="10"/>
  <c r="AB22" i="10"/>
  <c r="AA22" i="10"/>
  <c r="Z22" i="10"/>
  <c r="W22" i="10"/>
  <c r="V22" i="10"/>
  <c r="U22" i="10"/>
  <c r="T22" i="10"/>
  <c r="S22" i="10"/>
  <c r="P22" i="10"/>
  <c r="O22" i="10"/>
  <c r="N22" i="10"/>
  <c r="M22" i="10"/>
  <c r="L22" i="10"/>
  <c r="I22" i="10"/>
  <c r="H22" i="10"/>
  <c r="G22" i="10"/>
  <c r="F22" i="10"/>
  <c r="E22" i="10"/>
  <c r="AR21" i="10"/>
  <c r="AQ21" i="10"/>
  <c r="AP21" i="10"/>
  <c r="AO21" i="10"/>
  <c r="AN21" i="10"/>
  <c r="AK21" i="10"/>
  <c r="AJ21" i="10"/>
  <c r="AI21" i="10"/>
  <c r="AH21" i="10"/>
  <c r="AG21" i="10"/>
  <c r="AD21" i="10"/>
  <c r="AC21" i="10"/>
  <c r="AB21" i="10"/>
  <c r="AA21" i="10"/>
  <c r="Z21" i="10"/>
  <c r="W21" i="10"/>
  <c r="V21" i="10"/>
  <c r="U21" i="10"/>
  <c r="T21" i="10"/>
  <c r="S21" i="10"/>
  <c r="P21" i="10"/>
  <c r="O21" i="10"/>
  <c r="N21" i="10"/>
  <c r="M21" i="10"/>
  <c r="L21" i="10"/>
  <c r="I21" i="10"/>
  <c r="H21" i="10"/>
  <c r="G21" i="10"/>
  <c r="F21" i="10"/>
  <c r="E21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BE19" i="10"/>
  <c r="BF19" i="10" s="1"/>
  <c r="BG19" i="10" s="1"/>
  <c r="BD19" i="10"/>
  <c r="BD20" i="10" s="1"/>
  <c r="BC18" i="10"/>
  <c r="BB18" i="10"/>
  <c r="BA18" i="10"/>
  <c r="AY18" i="10"/>
  <c r="AX18" i="10"/>
  <c r="AW18" i="10"/>
  <c r="AV18" i="10"/>
  <c r="AU18" i="10"/>
  <c r="BE17" i="10"/>
  <c r="BF17" i="10" s="1"/>
  <c r="BG17" i="10" s="1"/>
  <c r="BD17" i="10"/>
  <c r="BC16" i="10"/>
  <c r="BB16" i="10"/>
  <c r="BA16" i="10"/>
  <c r="AY16" i="10"/>
  <c r="AX16" i="10"/>
  <c r="AW16" i="10"/>
  <c r="AV16" i="10"/>
  <c r="AU16" i="10"/>
  <c r="BE15" i="10"/>
  <c r="BF15" i="10" s="1"/>
  <c r="BG15" i="10" s="1"/>
  <c r="BD15" i="10"/>
  <c r="BC14" i="10"/>
  <c r="BB14" i="10"/>
  <c r="BA14" i="10"/>
  <c r="AY14" i="10"/>
  <c r="AX14" i="10"/>
  <c r="AW14" i="10"/>
  <c r="AV14" i="10"/>
  <c r="AU14" i="10"/>
  <c r="BE13" i="10"/>
  <c r="BF13" i="10" s="1"/>
  <c r="BG13" i="10" s="1"/>
  <c r="BD13" i="10"/>
  <c r="BC12" i="10"/>
  <c r="BB12" i="10"/>
  <c r="BA12" i="10"/>
  <c r="AY12" i="10"/>
  <c r="AX12" i="10"/>
  <c r="AW12" i="10"/>
  <c r="AV12" i="10"/>
  <c r="AU12" i="10"/>
  <c r="BE11" i="10"/>
  <c r="BF11" i="10" s="1"/>
  <c r="BG11" i="10" s="1"/>
  <c r="BD11" i="10"/>
  <c r="BC10" i="10"/>
  <c r="BB10" i="10"/>
  <c r="BA10" i="10"/>
  <c r="AY10" i="10"/>
  <c r="AX10" i="10"/>
  <c r="AW10" i="10"/>
  <c r="AV10" i="10"/>
  <c r="AU10" i="10"/>
  <c r="BE9" i="10"/>
  <c r="BF9" i="10" s="1"/>
  <c r="BG9" i="10" s="1"/>
  <c r="BD9" i="10"/>
  <c r="BC8" i="10"/>
  <c r="BC20" i="10" s="1"/>
  <c r="BB8" i="10"/>
  <c r="BB20" i="10" s="1"/>
  <c r="BA8" i="10"/>
  <c r="AY8" i="10"/>
  <c r="AY20" i="10" s="1"/>
  <c r="AX8" i="10"/>
  <c r="AX20" i="10" s="1"/>
  <c r="AW8" i="10"/>
  <c r="AW20" i="10" s="1"/>
  <c r="AV8" i="10"/>
  <c r="AU8" i="10"/>
  <c r="AU20" i="10" s="1"/>
  <c r="K41" i="9"/>
  <c r="K42" i="9"/>
  <c r="K43" i="9"/>
  <c r="J43" i="9"/>
  <c r="J42" i="9"/>
  <c r="C42" i="9" s="1"/>
  <c r="J41" i="9"/>
  <c r="F36" i="9"/>
  <c r="G36" i="9"/>
  <c r="H36" i="9"/>
  <c r="I36" i="9"/>
  <c r="F37" i="9"/>
  <c r="G37" i="9"/>
  <c r="H37" i="9"/>
  <c r="I37" i="9"/>
  <c r="F38" i="9"/>
  <c r="G38" i="9"/>
  <c r="H38" i="9"/>
  <c r="I38" i="9"/>
  <c r="F39" i="9"/>
  <c r="G39" i="9"/>
  <c r="H39" i="9"/>
  <c r="I39" i="9"/>
  <c r="F40" i="9"/>
  <c r="G40" i="9"/>
  <c r="H40" i="9"/>
  <c r="I40" i="9"/>
  <c r="E40" i="9"/>
  <c r="E39" i="9"/>
  <c r="E38" i="9"/>
  <c r="E37" i="9"/>
  <c r="E36" i="9"/>
  <c r="L37" i="9"/>
  <c r="L35" i="9"/>
  <c r="L33" i="9"/>
  <c r="L31" i="9"/>
  <c r="L29" i="9"/>
  <c r="L27" i="9"/>
  <c r="L25" i="9"/>
  <c r="L23" i="9"/>
  <c r="L21" i="9"/>
  <c r="L19" i="9"/>
  <c r="L17" i="9"/>
  <c r="L15" i="9"/>
  <c r="L13" i="9"/>
  <c r="G33" i="8"/>
  <c r="G30" i="8"/>
  <c r="H21" i="8"/>
  <c r="F20" i="8"/>
  <c r="F18" i="8"/>
  <c r="H13" i="8"/>
  <c r="H9" i="8"/>
  <c r="P29" i="7"/>
  <c r="K32" i="7"/>
  <c r="H32" i="7"/>
  <c r="J32" i="7" s="1"/>
  <c r="G26" i="7"/>
  <c r="G25" i="7"/>
  <c r="H25" i="7" s="1"/>
  <c r="G24" i="7"/>
  <c r="G23" i="7"/>
  <c r="G22" i="7"/>
  <c r="G21" i="7"/>
  <c r="F20" i="7"/>
  <c r="F18" i="7"/>
  <c r="G16" i="7"/>
  <c r="G15" i="7"/>
  <c r="G14" i="7"/>
  <c r="G13" i="7"/>
  <c r="G12" i="7"/>
  <c r="G9" i="7"/>
  <c r="H22" i="7" s="1"/>
  <c r="O8" i="7"/>
  <c r="AW20" i="11" l="1"/>
  <c r="BB20" i="11"/>
  <c r="I17" i="7"/>
  <c r="K22" i="7"/>
  <c r="C43" i="9"/>
  <c r="BF11" i="11"/>
  <c r="BG11" i="11" s="1"/>
  <c r="BF15" i="11"/>
  <c r="BG15" i="11" s="1"/>
  <c r="I14" i="7"/>
  <c r="BA20" i="10"/>
  <c r="AV20" i="10"/>
  <c r="I11" i="7"/>
  <c r="BF9" i="11"/>
  <c r="BG9" i="11" s="1"/>
  <c r="BF13" i="11"/>
  <c r="BG13" i="11" s="1"/>
  <c r="BC20" i="11"/>
  <c r="J12" i="7"/>
  <c r="L26" i="7"/>
  <c r="H13" i="7"/>
  <c r="H26" i="7" s="1"/>
  <c r="H11" i="7"/>
  <c r="H15" i="7"/>
  <c r="I23" i="7"/>
  <c r="L13" i="7"/>
  <c r="L11" i="7"/>
  <c r="I13" i="7"/>
  <c r="I26" i="7" s="1"/>
  <c r="H16" i="7"/>
  <c r="J21" i="7"/>
  <c r="I24" i="7"/>
  <c r="AU20" i="11"/>
  <c r="AY20" i="11"/>
  <c r="AV20" i="11"/>
  <c r="BF19" i="11"/>
  <c r="BG19" i="11" s="1"/>
  <c r="C37" i="9"/>
  <c r="C41" i="9"/>
  <c r="C39" i="9"/>
  <c r="C36" i="9"/>
  <c r="C40" i="9"/>
  <c r="C38" i="9"/>
  <c r="L36" i="9"/>
  <c r="G32" i="8"/>
  <c r="G34" i="8" s="1"/>
  <c r="L22" i="7"/>
  <c r="I16" i="7"/>
  <c r="N26" i="7"/>
  <c r="K21" i="7"/>
  <c r="K20" i="7" s="1"/>
  <c r="J11" i="7"/>
  <c r="H12" i="7"/>
  <c r="L12" i="7"/>
  <c r="J13" i="7"/>
  <c r="J26" i="7" s="1"/>
  <c r="H14" i="7"/>
  <c r="I15" i="7"/>
  <c r="G18" i="7"/>
  <c r="G20" i="7"/>
  <c r="H21" i="7"/>
  <c r="L21" i="7"/>
  <c r="L20" i="7" s="1"/>
  <c r="I22" i="7"/>
  <c r="H24" i="7"/>
  <c r="I25" i="7"/>
  <c r="K11" i="7"/>
  <c r="I12" i="7"/>
  <c r="I18" i="7" s="1"/>
  <c r="K13" i="7"/>
  <c r="K26" i="7" s="1"/>
  <c r="H17" i="7"/>
  <c r="I21" i="7"/>
  <c r="N21" i="7"/>
  <c r="J22" i="7"/>
  <c r="J20" i="7" s="1"/>
  <c r="H23" i="7"/>
  <c r="L32" i="7"/>
  <c r="K12" i="7"/>
  <c r="I32" i="7"/>
  <c r="H31" i="7" l="1"/>
  <c r="H29" i="7"/>
  <c r="L29" i="7"/>
  <c r="H18" i="7"/>
  <c r="H33" i="7"/>
  <c r="H34" i="7" s="1"/>
  <c r="I20" i="7"/>
  <c r="K31" i="7"/>
  <c r="K33" i="7" s="1"/>
  <c r="K34" i="7" s="1"/>
  <c r="K18" i="7"/>
  <c r="K29" i="7"/>
  <c r="I31" i="7"/>
  <c r="I33" i="7" s="1"/>
  <c r="I34" i="7" s="1"/>
  <c r="L31" i="7"/>
  <c r="L33" i="7" s="1"/>
  <c r="L34" i="7" s="1"/>
  <c r="H20" i="7"/>
  <c r="J29" i="7"/>
  <c r="J31" i="7"/>
  <c r="J33" i="7" s="1"/>
  <c r="J34" i="7" s="1"/>
  <c r="J18" i="7"/>
  <c r="L18" i="7"/>
  <c r="I29" i="7"/>
  <c r="N31" i="7"/>
  <c r="N29" i="7"/>
  <c r="N20" i="7" l="1"/>
  <c r="H35" i="7"/>
  <c r="H36" i="7" s="1"/>
  <c r="H37" i="7" s="1"/>
  <c r="N18" i="7"/>
  <c r="H190" i="5" l="1"/>
  <c r="J190" i="5" s="1"/>
  <c r="G177" i="5"/>
  <c r="E170" i="5"/>
  <c r="E171" i="5" s="1"/>
  <c r="F170" i="5"/>
  <c r="F21" i="5"/>
  <c r="F22" i="5"/>
  <c r="F28" i="5"/>
  <c r="F30" i="5"/>
  <c r="F31" i="5"/>
  <c r="F32" i="5"/>
  <c r="F33" i="5"/>
  <c r="F36" i="5"/>
  <c r="G36" i="5" s="1"/>
  <c r="H36" i="5" s="1"/>
  <c r="I36" i="5" s="1"/>
  <c r="E48" i="5"/>
  <c r="F48" i="5" s="1"/>
  <c r="E56" i="5"/>
  <c r="F56" i="5" s="1"/>
  <c r="F64" i="5"/>
  <c r="F66" i="5"/>
  <c r="F67" i="5"/>
  <c r="F68" i="5"/>
  <c r="F69" i="5"/>
  <c r="F72" i="5"/>
  <c r="G72" i="5" s="1"/>
  <c r="H72" i="5" s="1"/>
  <c r="I72" i="5" s="1"/>
  <c r="E160" i="5" s="1"/>
  <c r="C81" i="5"/>
  <c r="L81" i="5"/>
  <c r="C82" i="5"/>
  <c r="L82" i="5"/>
  <c r="C113" i="5"/>
  <c r="C114" i="5"/>
  <c r="F159" i="5"/>
  <c r="E159" i="5"/>
  <c r="F146" i="5"/>
  <c r="E146" i="5"/>
  <c r="F140" i="5"/>
  <c r="E140" i="5"/>
  <c r="F161" i="4"/>
  <c r="E161" i="4"/>
  <c r="L83" i="4"/>
  <c r="L82" i="4"/>
  <c r="F147" i="4"/>
  <c r="E147" i="4"/>
  <c r="F141" i="4"/>
  <c r="E141" i="4"/>
  <c r="C115" i="4"/>
  <c r="C114" i="4"/>
  <c r="C82" i="4"/>
  <c r="C83" i="4"/>
  <c r="F73" i="4"/>
  <c r="G73" i="4" s="1"/>
  <c r="H73" i="4" s="1"/>
  <c r="I73" i="4" s="1"/>
  <c r="E162" i="4" s="1"/>
  <c r="F70" i="4"/>
  <c r="F69" i="4"/>
  <c r="F68" i="4"/>
  <c r="F67" i="4"/>
  <c r="F65" i="4"/>
  <c r="E57" i="4"/>
  <c r="J73" i="4" s="1"/>
  <c r="F162" i="4" s="1"/>
  <c r="E49" i="4"/>
  <c r="F37" i="4"/>
  <c r="G37" i="4" s="1"/>
  <c r="H37" i="4" s="1"/>
  <c r="I37" i="4" s="1"/>
  <c r="F34" i="4"/>
  <c r="F33" i="4"/>
  <c r="F32" i="4"/>
  <c r="F31" i="4"/>
  <c r="F29" i="4"/>
  <c r="F23" i="4"/>
  <c r="F22" i="4"/>
  <c r="F37" i="3"/>
  <c r="G37" i="3" s="1"/>
  <c r="H37" i="3" s="1"/>
  <c r="I37" i="3" s="1"/>
  <c r="F23" i="3"/>
  <c r="F39" i="3"/>
  <c r="G39" i="3" s="1"/>
  <c r="H39" i="3" s="1"/>
  <c r="I39" i="3" s="1"/>
  <c r="F24" i="3"/>
  <c r="F22" i="3"/>
  <c r="F37" i="2"/>
  <c r="G37" i="2" s="1"/>
  <c r="H37" i="2" s="1"/>
  <c r="I37" i="2" s="1"/>
  <c r="F34" i="2"/>
  <c r="F33" i="2"/>
  <c r="F32" i="2"/>
  <c r="G29" i="2" s="1"/>
  <c r="F31" i="2"/>
  <c r="F29" i="2"/>
  <c r="F23" i="2"/>
  <c r="F22" i="2"/>
  <c r="G41" i="2" l="1"/>
  <c r="H34" i="2"/>
  <c r="I38" i="2" s="1"/>
  <c r="F49" i="4"/>
  <c r="J65" i="4"/>
  <c r="E150" i="4"/>
  <c r="F205" i="5"/>
  <c r="F204" i="5"/>
  <c r="G198" i="5"/>
  <c r="G205" i="5" s="1"/>
  <c r="F203" i="5"/>
  <c r="F200" i="5"/>
  <c r="F201" i="5"/>
  <c r="F202" i="5"/>
  <c r="F207" i="5"/>
  <c r="F206" i="5"/>
  <c r="G207" i="5"/>
  <c r="E163" i="4"/>
  <c r="F163" i="4"/>
  <c r="J72" i="5"/>
  <c r="F160" i="5" s="1"/>
  <c r="F161" i="5" s="1"/>
  <c r="G28" i="5"/>
  <c r="H33" i="5" s="1"/>
  <c r="I33" i="5" s="1"/>
  <c r="I37" i="5" s="1"/>
  <c r="G64" i="5"/>
  <c r="H69" i="5" s="1"/>
  <c r="I69" i="5" s="1"/>
  <c r="E150" i="5" s="1"/>
  <c r="J64" i="5"/>
  <c r="F150" i="5" s="1"/>
  <c r="E149" i="5"/>
  <c r="F149" i="5"/>
  <c r="E161" i="5"/>
  <c r="F150" i="4"/>
  <c r="F151" i="4"/>
  <c r="G65" i="4"/>
  <c r="H70" i="4" s="1"/>
  <c r="I70" i="4" s="1"/>
  <c r="F57" i="4"/>
  <c r="G29" i="4"/>
  <c r="H34" i="4" s="1"/>
  <c r="I40" i="3"/>
  <c r="G199" i="5" l="1"/>
  <c r="I34" i="4"/>
  <c r="I38" i="4" s="1"/>
  <c r="G202" i="5"/>
  <c r="G206" i="5"/>
  <c r="G203" i="5"/>
  <c r="G200" i="5"/>
  <c r="G204" i="5"/>
  <c r="G201" i="5"/>
  <c r="I74" i="4"/>
  <c r="E151" i="4"/>
  <c r="E152" i="4" s="1"/>
  <c r="F152" i="4"/>
  <c r="I73" i="5"/>
  <c r="F151" i="5"/>
  <c r="E1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D17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volume horaire dsponible pour hétéro remplacement</t>
        </r>
      </text>
    </comment>
    <comment ref="G17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3,53 ETP consacrés aux remplacements</t>
        </r>
      </text>
    </comment>
    <comment ref="E18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proprietaire:</t>
        </r>
        <r>
          <rPr>
            <sz val="9"/>
            <color indexed="81"/>
            <rFont val="Tahoma"/>
            <family val="2"/>
          </rPr>
          <t xml:space="preserve">
ETP équipe moins ETP nécessaires</t>
        </r>
      </text>
    </comment>
    <comment ref="J18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volume horaire contractuel/valeur moyenne journée travaillée</t>
        </r>
      </text>
    </comment>
    <comment ref="H19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proprietaire:</t>
        </r>
        <r>
          <rPr>
            <sz val="9"/>
            <color indexed="81"/>
            <rFont val="Tahoma"/>
            <family val="2"/>
          </rPr>
          <t xml:space="preserve">
temps contactuel moins temps effectif</t>
        </r>
      </text>
    </comment>
    <comment ref="I19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heures de congés /valeur moyenne de la journée travaillée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proprietaire:</t>
        </r>
        <r>
          <rPr>
            <sz val="9"/>
            <color indexed="81"/>
            <rFont val="Tahoma"/>
            <family val="2"/>
          </rPr>
          <t xml:space="preserve">
nombre de jour par agent x nombre d'ETP constituant l'équipe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Bérangère</author>
  </authors>
  <commentList>
    <comment ref="G11" authorId="0" shapeId="0" xr:uid="{00000000-0006-0000-0600-000001000000}">
      <text>
        <r>
          <rPr>
            <b/>
            <sz val="14"/>
            <color indexed="81"/>
            <rFont val="Tahoma"/>
            <family val="2"/>
          </rPr>
          <t xml:space="preserve">Bérangère:
F9 x 6 x12
</t>
        </r>
      </text>
    </comment>
    <comment ref="N11" authorId="0" shapeId="0" xr:uid="{00000000-0006-0000-0600-000002000000}">
      <text>
        <r>
          <rPr>
            <b/>
            <sz val="14"/>
            <color indexed="81"/>
            <rFont val="Tahoma"/>
            <family val="2"/>
          </rPr>
          <t>Bérangère:
G9 / G7 x M7</t>
        </r>
      </text>
    </comment>
    <comment ref="N32" authorId="0" shapeId="0" xr:uid="{00000000-0006-0000-0600-000003000000}">
      <text>
        <r>
          <rPr>
            <b/>
            <sz val="14"/>
            <color indexed="81"/>
            <rFont val="Tahoma"/>
            <family val="2"/>
          </rPr>
          <t>Bérangère:
données reprises sur onglet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Bérangère</author>
  </authors>
  <commentList>
    <comment ref="L36" authorId="0" shapeId="0" xr:uid="{00000000-0006-0000-0800-000001000000}">
      <text>
        <r>
          <rPr>
            <b/>
            <sz val="14"/>
            <color indexed="81"/>
            <rFont val="Tahoma"/>
            <family val="2"/>
          </rPr>
          <t>Bérangère:
SOMME(J5:J27)</t>
        </r>
      </text>
    </comment>
  </commentList>
</comments>
</file>

<file path=xl/sharedStrings.xml><?xml version="1.0" encoding="utf-8"?>
<sst xmlns="http://schemas.openxmlformats.org/spreadsheetml/2006/main" count="1252" uniqueCount="307">
  <si>
    <t>horaire</t>
  </si>
  <si>
    <t>nombre</t>
  </si>
  <si>
    <t>valeur heures</t>
  </si>
  <si>
    <t>équipe jour</t>
  </si>
  <si>
    <t>sm</t>
  </si>
  <si>
    <t>M</t>
  </si>
  <si>
    <t>A</t>
  </si>
  <si>
    <t>J1</t>
  </si>
  <si>
    <t>J2</t>
  </si>
  <si>
    <t>B</t>
  </si>
  <si>
    <t>S</t>
  </si>
  <si>
    <t>équipe nuit</t>
  </si>
  <si>
    <t>N</t>
  </si>
  <si>
    <t>7/7 jours</t>
  </si>
  <si>
    <t>an</t>
  </si>
  <si>
    <t>temps effectif de travail jour</t>
  </si>
  <si>
    <t>temps effectif de travail nuit</t>
  </si>
  <si>
    <t>total  heures</t>
  </si>
  <si>
    <t>total heures/jr</t>
  </si>
  <si>
    <t>total heures/sm</t>
  </si>
  <si>
    <t>ETP</t>
  </si>
  <si>
    <t>TOTAL</t>
  </si>
  <si>
    <t>par jour, 7 jours sur 7</t>
  </si>
  <si>
    <t>hôtellerie</t>
  </si>
  <si>
    <t>H</t>
  </si>
  <si>
    <t>temps "CONTRACTUEL" de travail jour</t>
  </si>
  <si>
    <t>temps "CONTRACTUEL" de travail nuit</t>
  </si>
  <si>
    <t>nbre professionnels/WE</t>
  </si>
  <si>
    <t>nbre professionnels total</t>
  </si>
  <si>
    <t>AS JOUR</t>
  </si>
  <si>
    <t>total contract</t>
  </si>
  <si>
    <t xml:space="preserve">TIT </t>
  </si>
  <si>
    <t>A1</t>
  </si>
  <si>
    <t>total réel</t>
  </si>
  <si>
    <t>A2</t>
  </si>
  <si>
    <t>A3</t>
  </si>
  <si>
    <t>A4</t>
  </si>
  <si>
    <t>A5</t>
  </si>
  <si>
    <t>A6</t>
  </si>
  <si>
    <t>A7</t>
  </si>
  <si>
    <t>A8</t>
  </si>
  <si>
    <t>CDI</t>
  </si>
  <si>
    <t>A9</t>
  </si>
  <si>
    <t>A10</t>
  </si>
  <si>
    <t>A12</t>
  </si>
  <si>
    <t>A13</t>
  </si>
  <si>
    <t>S3</t>
  </si>
  <si>
    <t>CDD</t>
  </si>
  <si>
    <t>A14</t>
  </si>
  <si>
    <t>A15</t>
  </si>
  <si>
    <t xml:space="preserve">CDI </t>
  </si>
  <si>
    <t>ASH JOUR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</si>
  <si>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</si>
  <si>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</si>
  <si>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</si>
  <si>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</si>
  <si>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</si>
  <si>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</si>
  <si>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</si>
  <si>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</si>
  <si>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</si>
  <si>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STATUT</t>
  </si>
  <si>
    <t>TPS DE TRAVAIL</t>
  </si>
  <si>
    <t>NOMBRE</t>
  </si>
  <si>
    <t>SOUS TOTAL</t>
  </si>
  <si>
    <t>EQUIPE SOINS JOUR</t>
  </si>
  <si>
    <t>NUIT</t>
  </si>
  <si>
    <t>TIT AS</t>
  </si>
  <si>
    <t>N1</t>
  </si>
  <si>
    <t>N2</t>
  </si>
  <si>
    <t>N3</t>
  </si>
  <si>
    <t>CDI AS</t>
  </si>
  <si>
    <t>A11</t>
  </si>
  <si>
    <t>CDI ASH</t>
  </si>
  <si>
    <t>N4</t>
  </si>
  <si>
    <t>CDD ASH</t>
  </si>
  <si>
    <t>BESOINS</t>
  </si>
  <si>
    <t>DIFFERENCE</t>
  </si>
  <si>
    <t>L’AUTO-REMPLACEMENT</t>
  </si>
  <si>
    <t>REMPLACEMENTS CONSTITUTION EQUIPE</t>
  </si>
  <si>
    <t>ETP EFFECTIFS ANNUELS NEC</t>
  </si>
  <si>
    <t>ETP  NEC "CONTRACTUELS"</t>
  </si>
  <si>
    <t>auto remplacement</t>
  </si>
  <si>
    <t>volume horaire contractuel/an</t>
  </si>
  <si>
    <t>volume horaire contractuel/sm</t>
  </si>
  <si>
    <t>valeur moyenne de  la journée travaillé</t>
  </si>
  <si>
    <t>nbre de postes absents/jour</t>
  </si>
  <si>
    <t>chaque professionnel devra s'absenter en moyenne</t>
  </si>
  <si>
    <t xml:space="preserve">jours </t>
  </si>
  <si>
    <t>nbre jrs abs</t>
  </si>
  <si>
    <t>jours/été</t>
  </si>
  <si>
    <t>jours/hors été</t>
  </si>
  <si>
    <t>par sm/8sm</t>
  </si>
  <si>
    <t>par sm/10 sm</t>
  </si>
  <si>
    <t>par sm/12 sm</t>
  </si>
  <si>
    <t>par sm</t>
  </si>
  <si>
    <t>par sm/13 sm</t>
  </si>
  <si>
    <t>par sm /14sm</t>
  </si>
  <si>
    <t>par sm/20 sm</t>
  </si>
  <si>
    <t>par sm/16 sm</t>
  </si>
  <si>
    <t>par sm/18 sm</t>
  </si>
  <si>
    <t>heures dispo</t>
  </si>
  <si>
    <t xml:space="preserve">CALCUL D'IMPACT GESTION DES ABSENCES </t>
  </si>
  <si>
    <t>par sm/17 sm</t>
  </si>
  <si>
    <t>7h15</t>
  </si>
  <si>
    <t>7h30</t>
  </si>
  <si>
    <t>7h45</t>
  </si>
  <si>
    <t>8h</t>
  </si>
  <si>
    <t>8h30</t>
  </si>
  <si>
    <t>9h</t>
  </si>
  <si>
    <t>10h</t>
  </si>
  <si>
    <t>12h</t>
  </si>
  <si>
    <t>ÉQUITÉ</t>
  </si>
  <si>
    <t>sur 6 SM</t>
  </si>
  <si>
    <t>tps global dispo</t>
  </si>
  <si>
    <t>nombre d'agents</t>
  </si>
  <si>
    <t>code</t>
  </si>
  <si>
    <t>valeur</t>
  </si>
  <si>
    <t>quant/jr</t>
  </si>
  <si>
    <t>temps de travail</t>
  </si>
  <si>
    <t>nbre d'H/6 sm</t>
  </si>
  <si>
    <t>nbre d'horaires par personne</t>
  </si>
  <si>
    <t>SM</t>
  </si>
  <si>
    <t>C</t>
  </si>
  <si>
    <t>J</t>
  </si>
  <si>
    <t>total heures / jr</t>
  </si>
  <si>
    <t>total heures / dim</t>
  </si>
  <si>
    <t>WE</t>
  </si>
  <si>
    <t>nbre maxi jours travallés</t>
  </si>
  <si>
    <t>total nbre de jrs travaillés par personne</t>
  </si>
  <si>
    <t xml:space="preserve">heures travaillées </t>
  </si>
  <si>
    <t>TPS ATTENDU</t>
  </si>
  <si>
    <t>différentiels</t>
  </si>
  <si>
    <t>heures/personne</t>
  </si>
  <si>
    <t>heures globales</t>
  </si>
  <si>
    <t>total/6 SM</t>
  </si>
  <si>
    <t>total / 52 sm</t>
  </si>
  <si>
    <t>ETP autorempla</t>
  </si>
  <si>
    <t>de remplacement intégrés</t>
  </si>
  <si>
    <t>PREPARATION GRILLE BASE:</t>
  </si>
  <si>
    <t>NOMBRE D'HORAIRES POUR UN TEMPS PLEIN</t>
  </si>
  <si>
    <t>X</t>
  </si>
  <si>
    <t>TPS ATTENDU/ 6 sm</t>
  </si>
  <si>
    <t>différentiel</t>
  </si>
  <si>
    <t xml:space="preserve"> GRILLE BASE:</t>
  </si>
  <si>
    <t>pas de soir/matin</t>
  </si>
  <si>
    <t>pas de coupe matin</t>
  </si>
  <si>
    <t>lundi</t>
  </si>
  <si>
    <t>mardi</t>
  </si>
  <si>
    <t>mercredi</t>
  </si>
  <si>
    <t>jeudi</t>
  </si>
  <si>
    <t>vendredi</t>
  </si>
  <si>
    <t>samedi</t>
  </si>
  <si>
    <t>dimanche</t>
  </si>
  <si>
    <t>total heures</t>
  </si>
  <si>
    <t xml:space="preserve">jours en sm </t>
  </si>
  <si>
    <t>Aw</t>
  </si>
  <si>
    <t>Cw</t>
  </si>
  <si>
    <t>Bw</t>
  </si>
  <si>
    <t xml:space="preserve">GRILLE DE BASE SUR 6 SM </t>
  </si>
  <si>
    <t>pas de soir/coupe</t>
  </si>
  <si>
    <t>L</t>
  </si>
  <si>
    <t>Ma</t>
  </si>
  <si>
    <t>Me</t>
  </si>
  <si>
    <t>V</t>
  </si>
  <si>
    <t>D</t>
  </si>
  <si>
    <t>TOT H</t>
  </si>
  <si>
    <t>tps attendu</t>
  </si>
  <si>
    <t>différence</t>
  </si>
  <si>
    <t>E</t>
  </si>
  <si>
    <t>F</t>
  </si>
  <si>
    <t>soit 7 jours sur 12 semaines</t>
  </si>
  <si>
    <t>total h</t>
  </si>
  <si>
    <t>à intégrer dans la gestion annuel du temps de travail? (pour éviter que ce ne soit systématiquement la même professionnelle qui perde la semaine X</t>
  </si>
  <si>
    <t>échanges intra possible</t>
  </si>
  <si>
    <t>manque</t>
  </si>
  <si>
    <t>trop</t>
  </si>
  <si>
    <t>DEROULEMENT CYCLE 1</t>
  </si>
  <si>
    <t>DEROULEMENT CYCLE 2</t>
  </si>
  <si>
    <r>
      <t xml:space="preserve">horaires M   </t>
    </r>
    <r>
      <rPr>
        <sz val="18"/>
        <color theme="1"/>
        <rFont val="Calibri"/>
        <family val="2"/>
        <scheme val="minor"/>
      </rPr>
      <t xml:space="preserve"> (1/étage)</t>
    </r>
  </si>
  <si>
    <t>horaire M+</t>
  </si>
  <si>
    <t>horaire J2</t>
  </si>
  <si>
    <t>horaire J3</t>
  </si>
  <si>
    <t>horaire J4</t>
  </si>
  <si>
    <t>horaire R</t>
  </si>
  <si>
    <r>
      <t xml:space="preserve">horaires S </t>
    </r>
    <r>
      <rPr>
        <sz val="18"/>
        <color theme="1"/>
        <rFont val="Calibri"/>
        <family val="2"/>
        <scheme val="minor"/>
      </rPr>
      <t>(1/étage)</t>
    </r>
  </si>
  <si>
    <t>7h</t>
  </si>
  <si>
    <t>étage en fonction de charge en soins</t>
  </si>
  <si>
    <t xml:space="preserve">prioritairement au 2ème </t>
  </si>
  <si>
    <t>prise de poste</t>
  </si>
  <si>
    <t>Petit déjeuner</t>
  </si>
  <si>
    <t>8h45</t>
  </si>
  <si>
    <t>Pause</t>
  </si>
  <si>
    <t>9h15</t>
  </si>
  <si>
    <t>9h30</t>
  </si>
  <si>
    <t>9h45</t>
  </si>
  <si>
    <t>10h15</t>
  </si>
  <si>
    <t>10h30</t>
  </si>
  <si>
    <t>Toilettes</t>
  </si>
  <si>
    <t>10h45</t>
  </si>
  <si>
    <t>11h</t>
  </si>
  <si>
    <t>11h15</t>
  </si>
  <si>
    <t>11h30</t>
  </si>
  <si>
    <t>11h45</t>
  </si>
  <si>
    <t>12h15</t>
  </si>
  <si>
    <t>12h30</t>
  </si>
  <si>
    <t xml:space="preserve">Déjeuner </t>
  </si>
  <si>
    <t>12h45</t>
  </si>
  <si>
    <t>M3 et M4 restaurant RDC</t>
  </si>
  <si>
    <t>restaurant RDC</t>
  </si>
  <si>
    <t>2ème étage</t>
  </si>
  <si>
    <t>3ème étage</t>
  </si>
  <si>
    <t>4ème étage</t>
  </si>
  <si>
    <t>13h</t>
  </si>
  <si>
    <t>13h15</t>
  </si>
  <si>
    <t>13h30</t>
  </si>
  <si>
    <t>Déplacements résidents</t>
  </si>
  <si>
    <t>13h45</t>
  </si>
  <si>
    <t>TO</t>
  </si>
  <si>
    <t>prise de poste et TO</t>
  </si>
  <si>
    <t>Actualisation des outils organisationnels (PVP, plans et planifications de soins), travaux institutionnels</t>
  </si>
  <si>
    <t>14h</t>
  </si>
  <si>
    <t>fin de poste</t>
  </si>
  <si>
    <t>sieste, incontinence, couchers précoces, accompagnements individuels, linge résident</t>
  </si>
  <si>
    <t>14h15</t>
  </si>
  <si>
    <t>reste au 4ème jusqu'à 17h les jours de PVP des résidents du 4ème</t>
  </si>
  <si>
    <t>14h30</t>
  </si>
  <si>
    <t>15h</t>
  </si>
  <si>
    <t>15h15</t>
  </si>
  <si>
    <t>Ateliers</t>
  </si>
  <si>
    <t>accompagnements au 1er</t>
  </si>
  <si>
    <t>15h30</t>
  </si>
  <si>
    <t>PVP</t>
  </si>
  <si>
    <t>15h45</t>
  </si>
  <si>
    <t>Goûter 2ème</t>
  </si>
  <si>
    <t>Goûter 3ème</t>
  </si>
  <si>
    <t>Goûter 1er/4ème</t>
  </si>
  <si>
    <t>Goûter</t>
  </si>
  <si>
    <t>16h</t>
  </si>
  <si>
    <t>16h15</t>
  </si>
  <si>
    <t>soins: activités, incontinence, couchers précoces, accompagnements individuels, soins divers….</t>
  </si>
  <si>
    <t>16h30</t>
  </si>
  <si>
    <t>16h45</t>
  </si>
  <si>
    <t>17h</t>
  </si>
  <si>
    <t>17h15</t>
  </si>
  <si>
    <t>17h30</t>
  </si>
  <si>
    <t>17h45</t>
  </si>
  <si>
    <t>18h</t>
  </si>
  <si>
    <t>18h15</t>
  </si>
  <si>
    <t>Dîner</t>
  </si>
  <si>
    <t xml:space="preserve">Dîner </t>
  </si>
  <si>
    <t>Dîner au restaurant RDC</t>
  </si>
  <si>
    <t>18h30</t>
  </si>
  <si>
    <t>18h45</t>
  </si>
  <si>
    <t>19h</t>
  </si>
  <si>
    <t>19h15</t>
  </si>
  <si>
    <t>19h30</t>
  </si>
  <si>
    <t>Couchers 2ème</t>
  </si>
  <si>
    <t>Couchers 1er</t>
  </si>
  <si>
    <t xml:space="preserve">Couchers </t>
  </si>
  <si>
    <t>19h45</t>
  </si>
  <si>
    <t>entraide 3ème/4ème pour les couchers en binômes</t>
  </si>
  <si>
    <t>20h</t>
  </si>
  <si>
    <t>20h15</t>
  </si>
  <si>
    <t>20h30</t>
  </si>
  <si>
    <t>20h45</t>
  </si>
  <si>
    <t>21h</t>
  </si>
  <si>
    <t>21h15</t>
  </si>
  <si>
    <t>CONSTITUTION DES ÉQUIPES HORS AUTO-REMPLACEMENT</t>
  </si>
  <si>
    <t>constittion équipes de jour</t>
  </si>
  <si>
    <t>constitution équipe de nuit</t>
  </si>
  <si>
    <t>TOTAL ETP équipe</t>
  </si>
  <si>
    <t>CALCUL HETERO REMPLACEMENT jour</t>
  </si>
  <si>
    <t>REMPLACEMENT THEORIQUE ORGANISATIONNEL</t>
  </si>
  <si>
    <t>jours pour les 23,3 ETP</t>
  </si>
  <si>
    <t>valeur moyenne de la journée travaillée: 8,33</t>
  </si>
  <si>
    <t>total heures / we</t>
  </si>
  <si>
    <t>OPTIMISER LA FONCTION</t>
  </si>
  <si>
    <t xml:space="preserve">D’ENCADREMENT EN EHPAD </t>
  </si>
  <si>
    <t>MODULE 1 : Gestion de l’organisation du travail</t>
  </si>
  <si>
    <t xml:space="preserve">EXEMPLES </t>
  </si>
  <si>
    <t>présentation opérationnelle des exemples du Power Point</t>
  </si>
  <si>
    <t>ENONCE</t>
  </si>
  <si>
    <t xml:space="preserve">CALCUL DES ETP CONSOMMES </t>
  </si>
  <si>
    <t>CALCUL DES ETP REMPLACEMENTS COMPRIS: exemple 2</t>
  </si>
  <si>
    <t>CALCUL DES ETP REMPLACEMENTS COMPRIS: exemple 1</t>
  </si>
  <si>
    <t xml:space="preserve">                   postes hôteliers du lundi au vendredi inclus</t>
  </si>
  <si>
    <t>par jour, 7 jours sur 7 pour les équipes jour et nuit</t>
  </si>
  <si>
    <t>CALCUL DES ETP NECESSAIRES</t>
  </si>
  <si>
    <t>CALCUL DU NOMBRE DE PROFESSIONNELS NECESSAIRES</t>
  </si>
  <si>
    <t>pour comprendre le résultat d'un calcul, cliquer sur la cellule contenant le résultat: la formule s'affiche dans la barre de tâches</t>
  </si>
  <si>
    <t>COMPARAISON MOYENS NECESSAIRES/MOYENS DISPONIBLES: exemple</t>
  </si>
  <si>
    <t xml:space="preserve">CALCUL DES ETP DISPONIBLES POUR L'AUTO-REMPLACEMENT </t>
  </si>
  <si>
    <t>ETP contractuels disponibles</t>
  </si>
  <si>
    <t>heures/an</t>
  </si>
  <si>
    <t xml:space="preserve">énoncé: </t>
  </si>
  <si>
    <t>1 horaire de matin /jour (A)</t>
  </si>
  <si>
    <t>1 horaire de coupe /jour (C)</t>
  </si>
  <si>
    <t>1 horaire de journée /jour (J)</t>
  </si>
  <si>
    <t>1 horaire d'après-midi /jour (B)</t>
  </si>
  <si>
    <t>organisation stable 5 jours sur 7</t>
  </si>
  <si>
    <t>pas d'horaire de journée le WE</t>
  </si>
  <si>
    <t>travail un WE/2</t>
  </si>
  <si>
    <t>nbre ETP</t>
  </si>
  <si>
    <t>PRE DESCRIPTIFS TACHES 1: exemple</t>
  </si>
  <si>
    <t xml:space="preserve">Nbre d'ETP supplémentaires </t>
  </si>
  <si>
    <t>soit nombre moy de postes en congés (absence) par semaine (poste "X")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</si>
</sst>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CC0000"/>
      <name val="Calibri"/>
      <family val="2"/>
      <scheme val="minor"/>
    </font>
    <font>
      <b/>
      <sz val="14"/>
      <color rgb="FF6600CC"/>
      <name val="Calibri"/>
      <family val="2"/>
      <scheme val="minor"/>
    </font>
    <font>
      <b/>
      <sz val="14"/>
      <color rgb="FFCC3300"/>
      <name val="Calibri"/>
      <family val="2"/>
      <scheme val="minor"/>
    </font>
    <font>
      <b/>
      <sz val="14"/>
      <color indexed="81"/>
      <name val="Tahoma"/>
      <family val="2"/>
    </font>
    <font>
      <b/>
      <sz val="14"/>
      <color rgb="FFFF3300"/>
      <name val="Calibri"/>
      <family val="2"/>
      <scheme val="minor"/>
    </font>
    <font>
      <b/>
      <sz val="14"/>
      <color rgb="FF0064C8"/>
      <name val="Gulim"/>
      <family val="2"/>
    </font>
    <font>
      <sz val="14"/>
      <color rgb="FF0064C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C40091"/>
      <name val="Calibri"/>
      <family val="2"/>
      <scheme val="minor"/>
    </font>
    <font>
      <b/>
      <sz val="14"/>
      <color rgb="FFFF0066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color rgb="FF0064C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DA82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DA820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2"/>
      <color rgb="FFFF33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rgb="FF0082B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9DFFF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rgb="FFB4F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B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C3DFD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rgb="FF93FF93"/>
        <bgColor indexed="64"/>
      </patternFill>
    </fill>
    <fill>
      <patternFill patternType="darkVertical">
        <fgColor rgb="FFB3D2FF"/>
        <bgColor rgb="FF93FF93"/>
      </patternFill>
    </fill>
    <fill>
      <patternFill patternType="solid">
        <fgColor theme="7" tint="0.59999389629810485"/>
        <bgColor indexed="64"/>
      </patternFill>
    </fill>
    <fill>
      <patternFill patternType="lightGrid">
        <fgColor rgb="FFFFFF00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28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8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0" fillId="0" borderId="3" xfId="0" applyBorder="1"/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3" fillId="2" borderId="10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/>
    <xf numFmtId="0" fontId="0" fillId="0" borderId="6" xfId="0" applyBorder="1"/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4" borderId="22" xfId="0" applyFont="1" applyFill="1" applyBorder="1"/>
    <xf numFmtId="0" fontId="1" fillId="4" borderId="30" xfId="0" applyFont="1" applyFill="1" applyBorder="1"/>
    <xf numFmtId="0" fontId="6" fillId="4" borderId="30" xfId="0" applyFont="1" applyFill="1" applyBorder="1" applyAlignment="1">
      <alignment horizontal="center" vertical="center"/>
    </xf>
    <xf numFmtId="164" fontId="7" fillId="4" borderId="3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5" borderId="31" xfId="0" applyFont="1" applyFill="1" applyBorder="1"/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39" xfId="0" applyFont="1" applyBorder="1"/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0" fontId="1" fillId="5" borderId="42" xfId="0" applyFont="1" applyFill="1" applyBorder="1"/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42" xfId="0" applyFont="1" applyBorder="1"/>
    <xf numFmtId="0" fontId="1" fillId="0" borderId="44" xfId="0" applyFont="1" applyBorder="1"/>
    <xf numFmtId="0" fontId="6" fillId="0" borderId="4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1" fillId="6" borderId="22" xfId="0" applyFont="1" applyFill="1" applyBorder="1"/>
    <xf numFmtId="0" fontId="1" fillId="6" borderId="30" xfId="0" applyFont="1" applyFill="1" applyBorder="1"/>
    <xf numFmtId="0" fontId="6" fillId="6" borderId="30" xfId="0" applyFont="1" applyFill="1" applyBorder="1" applyAlignment="1">
      <alignment horizontal="center" vertical="center"/>
    </xf>
    <xf numFmtId="164" fontId="7" fillId="6" borderId="30" xfId="0" applyNumberFormat="1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43" xfId="0" applyFont="1" applyBorder="1"/>
    <xf numFmtId="0" fontId="1" fillId="0" borderId="46" xfId="0" applyFont="1" applyBorder="1"/>
    <xf numFmtId="0" fontId="1" fillId="4" borderId="7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40" xfId="0" applyFont="1" applyBorder="1"/>
    <xf numFmtId="0" fontId="10" fillId="0" borderId="25" xfId="0" applyFont="1" applyFill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10" fillId="0" borderId="48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48" xfId="0" applyBorder="1"/>
    <xf numFmtId="0" fontId="10" fillId="0" borderId="1" xfId="0" applyFont="1" applyFill="1" applyBorder="1"/>
    <xf numFmtId="0" fontId="0" fillId="0" borderId="45" xfId="0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48" xfId="0" applyFont="1" applyFill="1" applyBorder="1"/>
    <xf numFmtId="0" fontId="1" fillId="3" borderId="25" xfId="0" applyFont="1" applyFill="1" applyBorder="1"/>
    <xf numFmtId="0" fontId="1" fillId="5" borderId="1" xfId="0" applyFont="1" applyFill="1" applyBorder="1"/>
    <xf numFmtId="0" fontId="1" fillId="2" borderId="22" xfId="0" applyFont="1" applyFill="1" applyBorder="1"/>
    <xf numFmtId="0" fontId="1" fillId="2" borderId="30" xfId="0" applyFont="1" applyFill="1" applyBorder="1"/>
    <xf numFmtId="0" fontId="6" fillId="2" borderId="30" xfId="0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1" fillId="7" borderId="22" xfId="0" applyFont="1" applyFill="1" applyBorder="1"/>
    <xf numFmtId="0" fontId="1" fillId="7" borderId="30" xfId="0" applyFont="1" applyFill="1" applyBorder="1"/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0" xfId="0" applyFont="1" applyFill="1" applyBorder="1"/>
    <xf numFmtId="0" fontId="6" fillId="0" borderId="4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vertical="center"/>
    </xf>
    <xf numFmtId="0" fontId="11" fillId="8" borderId="30" xfId="0" applyFont="1" applyFill="1" applyBorder="1"/>
    <xf numFmtId="0" fontId="12" fillId="8" borderId="30" xfId="0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0" fontId="5" fillId="0" borderId="31" xfId="0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1" fillId="3" borderId="31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0" borderId="15" xfId="0" applyFont="1" applyBorder="1"/>
    <xf numFmtId="0" fontId="1" fillId="0" borderId="4" xfId="0" applyFont="1" applyBorder="1"/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/>
    <xf numFmtId="0" fontId="1" fillId="0" borderId="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8" xfId="0" applyFont="1" applyBorder="1" applyAlignment="1">
      <alignment horizontal="center" vertical="center"/>
    </xf>
    <xf numFmtId="0" fontId="1" fillId="5" borderId="4" xfId="0" applyFont="1" applyFill="1" applyBorder="1"/>
    <xf numFmtId="0" fontId="1" fillId="5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2" xfId="0" applyFont="1" applyFill="1" applyBorder="1"/>
    <xf numFmtId="0" fontId="3" fillId="0" borderId="0" xfId="0" applyFont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164" fontId="18" fillId="5" borderId="19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6" fillId="12" borderId="4" xfId="0" applyFont="1" applyFill="1" applyBorder="1"/>
    <xf numFmtId="0" fontId="6" fillId="12" borderId="5" xfId="0" applyFont="1" applyFill="1" applyBorder="1"/>
    <xf numFmtId="0" fontId="6" fillId="12" borderId="59" xfId="0" applyFont="1" applyFill="1" applyBorder="1"/>
    <xf numFmtId="0" fontId="6" fillId="12" borderId="12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12" borderId="60" xfId="0" applyFont="1" applyFill="1" applyBorder="1"/>
    <xf numFmtId="0" fontId="6" fillId="0" borderId="32" xfId="0" applyFont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 wrapText="1"/>
    </xf>
    <xf numFmtId="0" fontId="6" fillId="12" borderId="33" xfId="0" applyFont="1" applyFill="1" applyBorder="1"/>
    <xf numFmtId="0" fontId="6" fillId="12" borderId="28" xfId="0" applyFont="1" applyFill="1" applyBorder="1"/>
    <xf numFmtId="0" fontId="6" fillId="12" borderId="27" xfId="0" applyFont="1" applyFill="1" applyBorder="1"/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" fillId="12" borderId="19" xfId="0" applyFont="1" applyFill="1" applyBorder="1"/>
    <xf numFmtId="0" fontId="6" fillId="12" borderId="55" xfId="0" applyFont="1" applyFill="1" applyBorder="1"/>
    <xf numFmtId="0" fontId="6" fillId="12" borderId="20" xfId="0" applyFont="1" applyFill="1" applyBorder="1"/>
    <xf numFmtId="0" fontId="6" fillId="14" borderId="29" xfId="0" applyFont="1" applyFill="1" applyBorder="1"/>
    <xf numFmtId="0" fontId="6" fillId="14" borderId="57" xfId="0" applyFont="1" applyFill="1" applyBorder="1"/>
    <xf numFmtId="0" fontId="6" fillId="14" borderId="25" xfId="0" applyFont="1" applyFill="1" applyBorder="1"/>
    <xf numFmtId="0" fontId="0" fillId="0" borderId="44" xfId="0" applyBorder="1"/>
    <xf numFmtId="0" fontId="0" fillId="0" borderId="14" xfId="0" applyBorder="1"/>
    <xf numFmtId="0" fontId="6" fillId="14" borderId="24" xfId="0" applyFont="1" applyFill="1" applyBorder="1" applyAlignment="1">
      <alignment horizontal="center" vertical="center" wrapText="1"/>
    </xf>
    <xf numFmtId="0" fontId="6" fillId="14" borderId="29" xfId="0" applyFont="1" applyFill="1" applyBorder="1" applyAlignment="1">
      <alignment horizontal="center" vertical="center"/>
    </xf>
    <xf numFmtId="0" fontId="6" fillId="14" borderId="57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57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/>
    <xf numFmtId="0" fontId="0" fillId="0" borderId="63" xfId="0" applyBorder="1"/>
    <xf numFmtId="0" fontId="0" fillId="0" borderId="64" xfId="0" applyBorder="1"/>
    <xf numFmtId="0" fontId="0" fillId="0" borderId="43" xfId="0" applyBorder="1"/>
    <xf numFmtId="0" fontId="0" fillId="0" borderId="56" xfId="0" applyBorder="1"/>
    <xf numFmtId="0" fontId="0" fillId="0" borderId="47" xfId="0" applyBorder="1"/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/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19" fillId="17" borderId="31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17" borderId="54" xfId="0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17" borderId="26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horizontal="center" vertical="center"/>
    </xf>
    <xf numFmtId="0" fontId="22" fillId="17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18" borderId="80" xfId="0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" fillId="19" borderId="8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/>
    </xf>
    <xf numFmtId="2" fontId="31" fillId="20" borderId="12" xfId="0" applyNumberFormat="1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164" fontId="9" fillId="11" borderId="57" xfId="0" applyNumberFormat="1" applyFont="1" applyFill="1" applyBorder="1" applyAlignment="1">
      <alignment horizontal="center" vertical="center"/>
    </xf>
    <xf numFmtId="0" fontId="33" fillId="11" borderId="24" xfId="0" applyFont="1" applyFill="1" applyBorder="1" applyAlignment="1">
      <alignment horizontal="center" vertical="center"/>
    </xf>
    <xf numFmtId="0" fontId="33" fillId="11" borderId="29" xfId="0" applyFont="1" applyFill="1" applyBorder="1" applyAlignment="1">
      <alignment horizontal="center" vertical="center"/>
    </xf>
    <xf numFmtId="0" fontId="33" fillId="11" borderId="25" xfId="0" applyFont="1" applyFill="1" applyBorder="1" applyAlignment="1">
      <alignment horizontal="center" vertical="center"/>
    </xf>
    <xf numFmtId="0" fontId="33" fillId="21" borderId="24" xfId="0" applyFont="1" applyFill="1" applyBorder="1" applyAlignment="1">
      <alignment horizontal="center" vertical="center"/>
    </xf>
    <xf numFmtId="0" fontId="33" fillId="21" borderId="25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7" xfId="0" applyFont="1" applyFill="1" applyBorder="1" applyAlignment="1">
      <alignment horizontal="center" vertical="center"/>
    </xf>
    <xf numFmtId="0" fontId="12" fillId="21" borderId="58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/>
    </xf>
    <xf numFmtId="0" fontId="12" fillId="21" borderId="12" xfId="0" applyFont="1" applyFill="1" applyBorder="1" applyAlignment="1">
      <alignment horizontal="center" vertical="center"/>
    </xf>
    <xf numFmtId="0" fontId="12" fillId="21" borderId="59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/>
    <xf numFmtId="0" fontId="5" fillId="0" borderId="43" xfId="0" applyFont="1" applyBorder="1" applyAlignment="1">
      <alignment horizontal="center" vertical="center"/>
    </xf>
    <xf numFmtId="0" fontId="34" fillId="11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left" vertical="center"/>
    </xf>
    <xf numFmtId="0" fontId="35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21" borderId="18" xfId="0" applyFont="1" applyFill="1" applyBorder="1" applyAlignment="1">
      <alignment horizontal="center" vertical="center"/>
    </xf>
    <xf numFmtId="0" fontId="12" fillId="21" borderId="20" xfId="0" applyFont="1" applyFill="1" applyBorder="1" applyAlignment="1">
      <alignment horizontal="center" vertical="center"/>
    </xf>
    <xf numFmtId="0" fontId="12" fillId="21" borderId="55" xfId="0" applyFont="1" applyFill="1" applyBorder="1" applyAlignment="1">
      <alignment horizontal="center" vertical="center"/>
    </xf>
    <xf numFmtId="0" fontId="35" fillId="11" borderId="4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5" fillId="0" borderId="0" xfId="0" applyFont="1"/>
    <xf numFmtId="0" fontId="37" fillId="0" borderId="4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37" fillId="11" borderId="4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/>
    <xf numFmtId="0" fontId="38" fillId="0" borderId="40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38" fillId="11" borderId="4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0" borderId="0" xfId="0" applyFont="1"/>
    <xf numFmtId="0" fontId="39" fillId="0" borderId="4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39" fillId="11" borderId="4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/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83" xfId="0" applyFill="1" applyBorder="1"/>
    <xf numFmtId="0" fontId="0" fillId="0" borderId="83" xfId="0" applyFill="1" applyBorder="1" applyAlignment="1">
      <alignment horizontal="center" vertical="center" wrapText="1"/>
    </xf>
    <xf numFmtId="0" fontId="1" fillId="8" borderId="84" xfId="0" applyFont="1" applyFill="1" applyBorder="1" applyAlignment="1">
      <alignment horizontal="center" vertical="center"/>
    </xf>
    <xf numFmtId="0" fontId="0" fillId="23" borderId="84" xfId="0" applyFill="1" applyBorder="1"/>
    <xf numFmtId="0" fontId="1" fillId="23" borderId="84" xfId="0" applyFont="1" applyFill="1" applyBorder="1" applyAlignment="1">
      <alignment horizontal="center" vertical="center"/>
    </xf>
    <xf numFmtId="0" fontId="0" fillId="23" borderId="84" xfId="0" applyFill="1" applyBorder="1" applyAlignment="1"/>
    <xf numFmtId="0" fontId="0" fillId="0" borderId="83" xfId="0" applyFill="1" applyBorder="1" applyAlignment="1"/>
    <xf numFmtId="0" fontId="0" fillId="0" borderId="0" xfId="0" applyFill="1" applyBorder="1" applyAlignment="1"/>
    <xf numFmtId="0" fontId="0" fillId="23" borderId="85" xfId="0" applyFill="1" applyBorder="1" applyAlignment="1"/>
    <xf numFmtId="0" fontId="1" fillId="8" borderId="84" xfId="0" applyFont="1" applyFill="1" applyBorder="1" applyAlignment="1">
      <alignment horizontal="center"/>
    </xf>
    <xf numFmtId="0" fontId="0" fillId="24" borderId="85" xfId="0" applyFill="1" applyBorder="1" applyAlignment="1"/>
    <xf numFmtId="0" fontId="0" fillId="24" borderId="84" xfId="0" applyFill="1" applyBorder="1" applyAlignment="1"/>
    <xf numFmtId="0" fontId="0" fillId="24" borderId="84" xfId="0" applyFill="1" applyBorder="1" applyAlignment="1">
      <alignment horizontal="left" vertical="center"/>
    </xf>
    <xf numFmtId="0" fontId="0" fillId="24" borderId="85" xfId="0" applyFill="1" applyBorder="1" applyAlignment="1">
      <alignment horizontal="left" vertical="center"/>
    </xf>
    <xf numFmtId="0" fontId="1" fillId="24" borderId="84" xfId="0" applyFont="1" applyFill="1" applyBorder="1" applyAlignment="1">
      <alignment horizontal="center" vertical="center"/>
    </xf>
    <xf numFmtId="0" fontId="0" fillId="23" borderId="84" xfId="0" applyFill="1" applyBorder="1" applyAlignment="1">
      <alignment horizontal="left" vertical="center"/>
    </xf>
    <xf numFmtId="0" fontId="0" fillId="23" borderId="85" xfId="0" applyFill="1" applyBorder="1" applyAlignment="1">
      <alignment horizontal="left" vertical="center"/>
    </xf>
    <xf numFmtId="0" fontId="0" fillId="23" borderId="85" xfId="0" applyFill="1" applyBorder="1" applyAlignment="1">
      <alignment horizontal="center" vertical="center"/>
    </xf>
    <xf numFmtId="0" fontId="0" fillId="23" borderId="85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86" xfId="0" applyFill="1" applyBorder="1" applyAlignment="1"/>
    <xf numFmtId="0" fontId="0" fillId="23" borderId="87" xfId="0" applyFill="1" applyBorder="1" applyAlignment="1"/>
    <xf numFmtId="0" fontId="0" fillId="25" borderId="84" xfId="0" applyFill="1" applyBorder="1" applyAlignment="1">
      <alignment horizontal="center" vertical="center"/>
    </xf>
    <xf numFmtId="0" fontId="0" fillId="26" borderId="8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88" xfId="0" applyFont="1" applyFill="1" applyBorder="1" applyAlignment="1">
      <alignment horizontal="center" vertical="center"/>
    </xf>
    <xf numFmtId="0" fontId="1" fillId="8" borderId="8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0" fillId="24" borderId="85" xfId="0" applyFill="1" applyBorder="1" applyAlignment="1">
      <alignment horizontal="center" vertical="center"/>
    </xf>
    <xf numFmtId="0" fontId="0" fillId="27" borderId="0" xfId="0" applyFill="1" applyBorder="1" applyAlignment="1"/>
    <xf numFmtId="0" fontId="1" fillId="23" borderId="85" xfId="0" applyFont="1" applyFill="1" applyBorder="1" applyAlignment="1">
      <alignment horizontal="center"/>
    </xf>
    <xf numFmtId="0" fontId="1" fillId="23" borderId="84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 vertical="center"/>
    </xf>
    <xf numFmtId="0" fontId="0" fillId="24" borderId="0" xfId="0" applyFill="1" applyBorder="1" applyAlignment="1"/>
    <xf numFmtId="0" fontId="0" fillId="23" borderId="0" xfId="0" applyFill="1" applyBorder="1" applyAlignment="1"/>
    <xf numFmtId="0" fontId="0" fillId="23" borderId="85" xfId="0" applyFill="1" applyBorder="1"/>
    <xf numFmtId="0" fontId="0" fillId="23" borderId="0" xfId="0" applyFill="1" applyBorder="1"/>
    <xf numFmtId="0" fontId="1" fillId="24" borderId="84" xfId="0" applyFont="1" applyFill="1" applyBorder="1" applyAlignment="1">
      <alignment horizontal="center"/>
    </xf>
    <xf numFmtId="0" fontId="0" fillId="24" borderId="84" xfId="0" applyFill="1" applyBorder="1"/>
    <xf numFmtId="0" fontId="0" fillId="24" borderId="0" xfId="0" applyFill="1" applyBorder="1"/>
    <xf numFmtId="0" fontId="5" fillId="5" borderId="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7" borderId="0" xfId="0" applyFont="1" applyFill="1"/>
    <xf numFmtId="0" fontId="1" fillId="9" borderId="0" xfId="0" applyFont="1" applyFill="1"/>
    <xf numFmtId="0" fontId="41" fillId="0" borderId="0" xfId="0" applyFont="1"/>
    <xf numFmtId="0" fontId="41" fillId="0" borderId="0" xfId="0" applyFont="1" applyAlignment="1">
      <alignment horizontal="left" vertical="center" readingOrder="1"/>
    </xf>
    <xf numFmtId="0" fontId="42" fillId="0" borderId="0" xfId="0" applyFont="1"/>
    <xf numFmtId="0" fontId="1" fillId="5" borderId="0" xfId="0" applyFont="1" applyFill="1"/>
    <xf numFmtId="0" fontId="0" fillId="5" borderId="0" xfId="0" applyFill="1"/>
    <xf numFmtId="0" fontId="43" fillId="0" borderId="1" xfId="0" applyFont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readingOrder="1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5" fillId="5" borderId="24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0" fillId="7" borderId="0" xfId="0" applyFill="1" applyAlignment="1"/>
    <xf numFmtId="0" fontId="5" fillId="9" borderId="0" xfId="0" applyFont="1" applyFill="1" applyBorder="1" applyAlignment="1">
      <alignment horizontal="center" vertical="center"/>
    </xf>
    <xf numFmtId="0" fontId="0" fillId="9" borderId="0" xfId="0" applyFill="1" applyAlignment="1"/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13" borderId="61" xfId="0" applyFont="1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3" fillId="0" borderId="0" xfId="0" applyFont="1" applyAlignment="1"/>
    <xf numFmtId="164" fontId="6" fillId="5" borderId="22" xfId="0" applyNumberFormat="1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16" borderId="18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6" fillId="13" borderId="43" xfId="0" applyFont="1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24" borderId="84" xfId="0" applyFill="1" applyBorder="1" applyAlignment="1">
      <alignment wrapText="1"/>
    </xf>
    <xf numFmtId="0" fontId="0" fillId="0" borderId="84" xfId="0" applyBorder="1" applyAlignment="1">
      <alignment wrapText="1"/>
    </xf>
    <xf numFmtId="0" fontId="1" fillId="24" borderId="84" xfId="0" applyFont="1" applyFill="1" applyBorder="1" applyAlignment="1">
      <alignment wrapText="1"/>
    </xf>
    <xf numFmtId="0" fontId="1" fillId="0" borderId="84" xfId="0" applyFont="1" applyBorder="1" applyAlignment="1">
      <alignment wrapText="1"/>
    </xf>
    <xf numFmtId="0" fontId="1" fillId="23" borderId="84" xfId="0" applyFont="1" applyFill="1" applyBorder="1" applyAlignment="1">
      <alignment horizontal="center" wrapText="1"/>
    </xf>
    <xf numFmtId="0" fontId="0" fillId="23" borderId="84" xfId="0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5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4" borderId="84" xfId="0" applyFont="1" applyFill="1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8FF"/>
      <color rgb="FF00FF00"/>
      <color rgb="FF0000CC"/>
      <color rgb="FFB0FF97"/>
      <color rgb="FFC9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784860</xdr:colOff>
      <xdr:row>186</xdr:row>
      <xdr:rowOff>30480</xdr:rowOff>
    </xdr:from>
    <xdr:to>
      <xdr:col>12</xdr:col>
      <xdr:colOff>30480</xdr:colOff>
      <xdr:row>205</xdr:row>
      <xdr:rowOff>114300</xdr:rowOff>
    </xdr:to>
    <xdr:sp macro="" textlink="">
      <xdr:nvSpPr>
        <xdr:cNvPr id="2" name="Flèche : courbe vers la gauche 1">
          <a:extLst>
            <a:ext uri="{FF2B5EF4-FFF2-40B4-BE49-F238E27FC236}">
              <a16:creationId xmlns:a16="http://schemas.microsoft.com/office/drawing/2014/main" id="{CFDD5E06-E991-41A0-B7BA-A2E5216DF398}"/>
            </a:ext>
          </a:extLst>
        </xdr:cNvPr>
        <xdr:cNvSpPr/>
      </xdr:nvSpPr>
      <xdr:spPr>
        <a:xfrm>
          <a:off x="9525000" y="12321540"/>
          <a:ext cx="830580" cy="360426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269631</xdr:colOff>
      <xdr:row>185</xdr:row>
      <xdr:rowOff>105508</xdr:rowOff>
    </xdr:from>
    <xdr:to>
      <xdr:col>3</xdr:col>
      <xdr:colOff>832338</xdr:colOff>
      <xdr:row>185</xdr:row>
      <xdr:rowOff>181708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B711E0BC-91F4-4BCB-999B-2A66D2BF75B4}"/>
            </a:ext>
          </a:extLst>
        </xdr:cNvPr>
        <xdr:cNvSpPr/>
      </xdr:nvSpPr>
      <xdr:spPr>
        <a:xfrm>
          <a:off x="2520462" y="12203723"/>
          <a:ext cx="562707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16"/>
  <sheetViews>
    <sheetView workbookViewId="0">
      <selection activeCell="D24" sqref="D24"/>
    </sheetView>
  </sheetViews>
  <sheetFormatPr baseColWidth="10" defaultRowHeight="14.4" x14ac:dyDescent="0.3"/>
  <sheetData>
    <row r="3" spans="2:2" ht="36.6" x14ac:dyDescent="0.7">
      <c r="B3" s="640" t="s">
        <v>277</v>
      </c>
    </row>
    <row r="4" spans="2:2" ht="36.6" x14ac:dyDescent="0.7">
      <c r="B4" s="640" t="s">
        <v>278</v>
      </c>
    </row>
    <row r="8" spans="2:2" ht="36.6" x14ac:dyDescent="0.3">
      <c r="B8" s="641" t="s">
        <v>279</v>
      </c>
    </row>
    <row r="12" spans="2:2" ht="21" x14ac:dyDescent="0.4">
      <c r="B12" s="642" t="s">
        <v>280</v>
      </c>
    </row>
    <row r="14" spans="2:2" x14ac:dyDescent="0.3">
      <c r="B14" t="s">
        <v>281</v>
      </c>
    </row>
    <row r="16" spans="2:2" x14ac:dyDescent="0.3">
      <c r="B16" t="s">
        <v>290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Q28"/>
  <sheetViews>
    <sheetView zoomScale="60" zoomScaleNormal="60" workbookViewId="0">
      <selection activeCell="X42" sqref="X42"/>
    </sheetView>
  </sheetViews>
  <sheetFormatPr baseColWidth="10" defaultRowHeight="14.4" x14ac:dyDescent="0.3"/>
  <cols>
    <col min="3" max="4" width="11.5546875" style="30"/>
    <col min="5" max="8" width="5.6640625" style="30" customWidth="1"/>
    <col min="9" max="46" width="5.6640625" customWidth="1"/>
    <col min="47" max="55" width="4.6640625" customWidth="1"/>
    <col min="56" max="56" width="10.33203125" customWidth="1"/>
    <col min="57" max="57" width="11.88671875" customWidth="1"/>
    <col min="58" max="58" width="18.6640625" customWidth="1"/>
  </cols>
  <sheetData>
    <row r="2" spans="2:59" ht="31.2" x14ac:dyDescent="0.3">
      <c r="D2" s="61" t="s">
        <v>178</v>
      </c>
    </row>
    <row r="6" spans="2:59" ht="15" thickBot="1" x14ac:dyDescent="0.35">
      <c r="B6" s="166"/>
      <c r="C6" s="166"/>
      <c r="D6" s="168"/>
      <c r="E6" s="168"/>
      <c r="F6" s="168"/>
      <c r="G6" s="168">
        <v>1</v>
      </c>
      <c r="H6" s="168"/>
      <c r="I6" s="168"/>
      <c r="J6" s="168"/>
      <c r="K6" s="168"/>
      <c r="L6" s="168"/>
      <c r="M6" s="168"/>
      <c r="N6" s="168">
        <v>2</v>
      </c>
      <c r="O6" s="168"/>
      <c r="P6" s="168"/>
      <c r="Q6" s="168"/>
      <c r="R6" s="168"/>
      <c r="S6" s="168"/>
      <c r="T6" s="168"/>
      <c r="U6" s="168">
        <v>3</v>
      </c>
      <c r="V6" s="168"/>
      <c r="W6" s="168"/>
      <c r="X6" s="168"/>
      <c r="Y6" s="168"/>
      <c r="Z6" s="168"/>
      <c r="AA6" s="168"/>
      <c r="AB6" s="168">
        <v>4</v>
      </c>
      <c r="AC6" s="168"/>
      <c r="AD6" s="168"/>
      <c r="AE6" s="168"/>
      <c r="AF6" s="168"/>
      <c r="AG6" s="168"/>
      <c r="AH6" s="168"/>
      <c r="AI6" s="168">
        <v>5</v>
      </c>
      <c r="AJ6" s="168"/>
      <c r="AK6" s="168"/>
      <c r="AL6" s="168"/>
      <c r="AM6" s="168"/>
      <c r="AN6" s="168"/>
      <c r="AO6" s="168"/>
      <c r="AP6" s="168">
        <v>6</v>
      </c>
      <c r="AQ6" s="168"/>
      <c r="AR6" s="168"/>
      <c r="AS6" s="168"/>
      <c r="AT6" s="168"/>
      <c r="AU6" s="454"/>
      <c r="AV6" s="168"/>
      <c r="AW6" s="455"/>
      <c r="AX6" s="168"/>
      <c r="AY6" s="456"/>
      <c r="AZ6" s="168"/>
      <c r="BA6" s="168"/>
      <c r="BB6" s="168"/>
      <c r="BC6" s="456"/>
      <c r="BD6" s="168"/>
      <c r="BE6" s="168"/>
      <c r="BF6" s="168"/>
    </row>
    <row r="7" spans="2:59" ht="18.600000000000001" thickBot="1" x14ac:dyDescent="0.35">
      <c r="B7" s="166"/>
      <c r="C7" s="166"/>
      <c r="D7"/>
      <c r="E7" s="457" t="s">
        <v>161</v>
      </c>
      <c r="F7" s="458" t="s">
        <v>162</v>
      </c>
      <c r="G7" s="458" t="s">
        <v>163</v>
      </c>
      <c r="H7" s="458" t="s">
        <v>124</v>
      </c>
      <c r="I7" s="459" t="s">
        <v>164</v>
      </c>
      <c r="J7" s="460" t="s">
        <v>10</v>
      </c>
      <c r="K7" s="461" t="s">
        <v>165</v>
      </c>
      <c r="L7" s="462" t="s">
        <v>161</v>
      </c>
      <c r="M7" s="458" t="s">
        <v>162</v>
      </c>
      <c r="N7" s="458" t="s">
        <v>163</v>
      </c>
      <c r="O7" s="458" t="s">
        <v>124</v>
      </c>
      <c r="P7" s="459" t="s">
        <v>164</v>
      </c>
      <c r="Q7" s="460" t="s">
        <v>10</v>
      </c>
      <c r="R7" s="461" t="s">
        <v>165</v>
      </c>
      <c r="S7" s="462" t="s">
        <v>161</v>
      </c>
      <c r="T7" s="458" t="s">
        <v>162</v>
      </c>
      <c r="U7" s="458" t="s">
        <v>163</v>
      </c>
      <c r="V7" s="458" t="s">
        <v>124</v>
      </c>
      <c r="W7" s="459" t="s">
        <v>164</v>
      </c>
      <c r="X7" s="460" t="s">
        <v>10</v>
      </c>
      <c r="Y7" s="461" t="s">
        <v>165</v>
      </c>
      <c r="Z7" s="462" t="s">
        <v>161</v>
      </c>
      <c r="AA7" s="458" t="s">
        <v>162</v>
      </c>
      <c r="AB7" s="458" t="s">
        <v>163</v>
      </c>
      <c r="AC7" s="458" t="s">
        <v>124</v>
      </c>
      <c r="AD7" s="459" t="s">
        <v>164</v>
      </c>
      <c r="AE7" s="460" t="s">
        <v>10</v>
      </c>
      <c r="AF7" s="461" t="s">
        <v>165</v>
      </c>
      <c r="AG7" s="462" t="s">
        <v>161</v>
      </c>
      <c r="AH7" s="458" t="s">
        <v>162</v>
      </c>
      <c r="AI7" s="458" t="s">
        <v>163</v>
      </c>
      <c r="AJ7" s="458" t="s">
        <v>124</v>
      </c>
      <c r="AK7" s="459" t="s">
        <v>164</v>
      </c>
      <c r="AL7" s="460" t="s">
        <v>10</v>
      </c>
      <c r="AM7" s="461" t="s">
        <v>165</v>
      </c>
      <c r="AN7" s="462" t="s">
        <v>161</v>
      </c>
      <c r="AO7" s="458" t="s">
        <v>162</v>
      </c>
      <c r="AP7" s="458" t="s">
        <v>163</v>
      </c>
      <c r="AQ7" s="458" t="s">
        <v>124</v>
      </c>
      <c r="AR7" s="459" t="s">
        <v>164</v>
      </c>
      <c r="AS7" s="463" t="s">
        <v>10</v>
      </c>
      <c r="AT7" s="464" t="s">
        <v>165</v>
      </c>
      <c r="AU7" s="465" t="s">
        <v>6</v>
      </c>
      <c r="AV7" s="466" t="s">
        <v>123</v>
      </c>
      <c r="AW7" s="467" t="s">
        <v>9</v>
      </c>
      <c r="AX7" s="468" t="s">
        <v>124</v>
      </c>
      <c r="AY7" s="469" t="s">
        <v>141</v>
      </c>
      <c r="AZ7" s="470"/>
      <c r="BA7" s="465" t="s">
        <v>156</v>
      </c>
      <c r="BB7" s="466" t="s">
        <v>157</v>
      </c>
      <c r="BC7" s="471" t="s">
        <v>158</v>
      </c>
      <c r="BD7" s="472" t="s">
        <v>166</v>
      </c>
      <c r="BE7" s="473" t="s">
        <v>167</v>
      </c>
      <c r="BF7" s="474" t="s">
        <v>168</v>
      </c>
    </row>
    <row r="8" spans="2:59" ht="18" x14ac:dyDescent="0.3">
      <c r="B8" s="89">
        <v>1</v>
      </c>
      <c r="C8" s="90" t="s">
        <v>6</v>
      </c>
      <c r="D8" s="475">
        <v>1</v>
      </c>
      <c r="E8" s="346" t="s">
        <v>9</v>
      </c>
      <c r="F8" s="347"/>
      <c r="G8" s="346" t="s">
        <v>9</v>
      </c>
      <c r="H8" s="346" t="s">
        <v>9</v>
      </c>
      <c r="I8" s="346" t="s">
        <v>9</v>
      </c>
      <c r="J8" s="348"/>
      <c r="K8" s="349"/>
      <c r="L8" s="355" t="s">
        <v>123</v>
      </c>
      <c r="M8" s="355" t="s">
        <v>123</v>
      </c>
      <c r="N8" s="355" t="s">
        <v>123</v>
      </c>
      <c r="O8" s="356"/>
      <c r="P8" s="357" t="s">
        <v>124</v>
      </c>
      <c r="Q8" s="237" t="s">
        <v>156</v>
      </c>
      <c r="R8" s="239" t="s">
        <v>156</v>
      </c>
      <c r="S8" s="363"/>
      <c r="T8" s="346" t="s">
        <v>9</v>
      </c>
      <c r="U8" s="357" t="s">
        <v>124</v>
      </c>
      <c r="V8" s="357" t="s">
        <v>124</v>
      </c>
      <c r="W8" s="364" t="s">
        <v>6</v>
      </c>
      <c r="X8" s="365"/>
      <c r="Y8" s="366"/>
      <c r="Z8" s="371" t="s">
        <v>141</v>
      </c>
      <c r="AA8" s="371" t="s">
        <v>141</v>
      </c>
      <c r="AB8" s="371" t="s">
        <v>141</v>
      </c>
      <c r="AC8" s="371" t="s">
        <v>141</v>
      </c>
      <c r="AD8" s="347"/>
      <c r="AE8" s="372" t="s">
        <v>157</v>
      </c>
      <c r="AF8" s="373" t="s">
        <v>157</v>
      </c>
      <c r="AG8" s="357" t="s">
        <v>124</v>
      </c>
      <c r="AH8" s="357" t="s">
        <v>124</v>
      </c>
      <c r="AI8" s="377"/>
      <c r="AJ8" s="355" t="s">
        <v>123</v>
      </c>
      <c r="AK8" s="355" t="s">
        <v>123</v>
      </c>
      <c r="AL8" s="365"/>
      <c r="AM8" s="366"/>
      <c r="AN8" s="364" t="s">
        <v>6</v>
      </c>
      <c r="AO8" s="364" t="s">
        <v>6</v>
      </c>
      <c r="AP8" s="364" t="s">
        <v>6</v>
      </c>
      <c r="AQ8" s="364" t="s">
        <v>6</v>
      </c>
      <c r="AR8" s="363"/>
      <c r="AS8" s="381" t="s">
        <v>158</v>
      </c>
      <c r="AT8" s="382" t="s">
        <v>158</v>
      </c>
      <c r="AU8" s="476">
        <f>COUNTIF($E8:$AT8,"A")</f>
        <v>5</v>
      </c>
      <c r="AV8" s="477">
        <f>COUNTIF($E8:$AT8,"C")</f>
        <v>5</v>
      </c>
      <c r="AW8" s="477">
        <f>COUNTIF($E8:$AT8,"B")</f>
        <v>5</v>
      </c>
      <c r="AX8" s="477">
        <f>COUNTIF($E8:$AT8,"J")</f>
        <v>5</v>
      </c>
      <c r="AY8" s="478">
        <f>COUNTIF($E8:$AT8,"X")</f>
        <v>4</v>
      </c>
      <c r="AZ8" s="476"/>
      <c r="BA8" s="476">
        <f>COUNTIF($E8:$AT8,"Aw")</f>
        <v>2</v>
      </c>
      <c r="BB8" s="477">
        <f>COUNTIF($E8:$AT8,"Cw")</f>
        <v>2</v>
      </c>
      <c r="BC8" s="478">
        <f>COUNTIF($E8:$AT8,"Bw")</f>
        <v>2</v>
      </c>
      <c r="BD8" s="479"/>
      <c r="BE8" s="480"/>
      <c r="BF8" s="481"/>
    </row>
    <row r="9" spans="2:59" ht="43.8" customHeight="1" thickBot="1" x14ac:dyDescent="0.35">
      <c r="B9" s="482"/>
      <c r="C9" s="483"/>
      <c r="D9" s="484"/>
      <c r="E9" s="351">
        <v>7</v>
      </c>
      <c r="F9" s="352"/>
      <c r="G9" s="351">
        <v>7</v>
      </c>
      <c r="H9" s="351">
        <v>7</v>
      </c>
      <c r="I9" s="351">
        <v>7</v>
      </c>
      <c r="J9" s="353"/>
      <c r="K9" s="354"/>
      <c r="L9" s="358">
        <v>7</v>
      </c>
      <c r="M9" s="358">
        <v>7</v>
      </c>
      <c r="N9" s="358">
        <v>7</v>
      </c>
      <c r="O9" s="359"/>
      <c r="P9" s="360">
        <v>7</v>
      </c>
      <c r="Q9" s="361">
        <v>7</v>
      </c>
      <c r="R9" s="362">
        <v>7</v>
      </c>
      <c r="S9" s="367"/>
      <c r="T9" s="351">
        <v>7</v>
      </c>
      <c r="U9" s="360">
        <v>7</v>
      </c>
      <c r="V9" s="360">
        <v>7</v>
      </c>
      <c r="W9" s="368">
        <v>7</v>
      </c>
      <c r="X9" s="369"/>
      <c r="Y9" s="370"/>
      <c r="Z9" s="374">
        <v>7</v>
      </c>
      <c r="AA9" s="374">
        <v>7</v>
      </c>
      <c r="AB9" s="374">
        <v>7</v>
      </c>
      <c r="AC9" s="374">
        <v>7</v>
      </c>
      <c r="AD9" s="352"/>
      <c r="AE9" s="375">
        <v>7</v>
      </c>
      <c r="AF9" s="376">
        <v>7</v>
      </c>
      <c r="AG9" s="360">
        <v>7</v>
      </c>
      <c r="AH9" s="360">
        <v>7</v>
      </c>
      <c r="AI9" s="378"/>
      <c r="AJ9" s="358">
        <v>7</v>
      </c>
      <c r="AK9" s="358">
        <v>7</v>
      </c>
      <c r="AL9" s="379"/>
      <c r="AM9" s="380"/>
      <c r="AN9" s="368">
        <v>7</v>
      </c>
      <c r="AO9" s="368">
        <v>7</v>
      </c>
      <c r="AP9" s="368">
        <v>7</v>
      </c>
      <c r="AQ9" s="368">
        <v>7</v>
      </c>
      <c r="AR9" s="367"/>
      <c r="AS9" s="332">
        <v>7</v>
      </c>
      <c r="AT9" s="334">
        <v>7</v>
      </c>
      <c r="AU9" s="485"/>
      <c r="AV9" s="486"/>
      <c r="AW9" s="486"/>
      <c r="AX9" s="486"/>
      <c r="AY9" s="487"/>
      <c r="AZ9" s="488"/>
      <c r="BA9" s="485"/>
      <c r="BB9" s="486"/>
      <c r="BC9" s="487"/>
      <c r="BD9" s="489">
        <f>SUM(E9:AT9)</f>
        <v>210</v>
      </c>
      <c r="BE9" s="490">
        <f>35*6*D8</f>
        <v>210</v>
      </c>
      <c r="BF9" s="491">
        <f>BD9-BE9</f>
        <v>0</v>
      </c>
      <c r="BG9">
        <f>BF9/7</f>
        <v>0</v>
      </c>
    </row>
    <row r="10" spans="2:59" ht="18" x14ac:dyDescent="0.3">
      <c r="B10" s="103">
        <v>2</v>
      </c>
      <c r="C10" s="97" t="s">
        <v>9</v>
      </c>
      <c r="D10" s="492">
        <v>1</v>
      </c>
      <c r="E10" s="364" t="s">
        <v>6</v>
      </c>
      <c r="F10" s="364" t="s">
        <v>6</v>
      </c>
      <c r="G10" s="364" t="s">
        <v>6</v>
      </c>
      <c r="H10" s="364" t="s">
        <v>6</v>
      </c>
      <c r="I10" s="363"/>
      <c r="J10" s="381" t="s">
        <v>158</v>
      </c>
      <c r="K10" s="382" t="s">
        <v>158</v>
      </c>
      <c r="L10" s="346" t="s">
        <v>9</v>
      </c>
      <c r="M10" s="347"/>
      <c r="N10" s="346" t="s">
        <v>9</v>
      </c>
      <c r="O10" s="346" t="s">
        <v>9</v>
      </c>
      <c r="P10" s="346" t="s">
        <v>9</v>
      </c>
      <c r="Q10" s="348"/>
      <c r="R10" s="349"/>
      <c r="S10" s="355" t="s">
        <v>123</v>
      </c>
      <c r="T10" s="355" t="s">
        <v>123</v>
      </c>
      <c r="U10" s="355" t="s">
        <v>123</v>
      </c>
      <c r="V10" s="356"/>
      <c r="W10" s="357" t="s">
        <v>124</v>
      </c>
      <c r="X10" s="237" t="s">
        <v>156</v>
      </c>
      <c r="Y10" s="239" t="s">
        <v>156</v>
      </c>
      <c r="Z10" s="363"/>
      <c r="AA10" s="346" t="s">
        <v>9</v>
      </c>
      <c r="AB10" s="357" t="s">
        <v>124</v>
      </c>
      <c r="AC10" s="357" t="s">
        <v>124</v>
      </c>
      <c r="AD10" s="364" t="s">
        <v>6</v>
      </c>
      <c r="AE10" s="365"/>
      <c r="AF10" s="366"/>
      <c r="AG10" s="371" t="s">
        <v>141</v>
      </c>
      <c r="AH10" s="371" t="s">
        <v>141</v>
      </c>
      <c r="AI10" s="371" t="s">
        <v>141</v>
      </c>
      <c r="AJ10" s="371" t="s">
        <v>141</v>
      </c>
      <c r="AK10" s="347"/>
      <c r="AL10" s="372" t="s">
        <v>157</v>
      </c>
      <c r="AM10" s="373" t="s">
        <v>157</v>
      </c>
      <c r="AN10" s="357" t="s">
        <v>124</v>
      </c>
      <c r="AO10" s="357" t="s">
        <v>124</v>
      </c>
      <c r="AP10" s="377"/>
      <c r="AQ10" s="355" t="s">
        <v>123</v>
      </c>
      <c r="AR10" s="355" t="s">
        <v>123</v>
      </c>
      <c r="AS10" s="365"/>
      <c r="AT10" s="366"/>
      <c r="AU10" s="493">
        <f t="shared" ref="AU10:AU18" si="0">COUNTIF($E10:$AT10,"A")</f>
        <v>5</v>
      </c>
      <c r="AV10" s="494">
        <f t="shared" ref="AV10:AV18" si="1">COUNTIF($E10:$AT10,"C")</f>
        <v>5</v>
      </c>
      <c r="AW10" s="494">
        <f t="shared" ref="AW10:AW18" si="2">COUNTIF($E10:$AT10,"B")</f>
        <v>5</v>
      </c>
      <c r="AX10" s="494">
        <f t="shared" ref="AX10:AX18" si="3">COUNTIF($E10:$AT10,"J")</f>
        <v>5</v>
      </c>
      <c r="AY10" s="495">
        <f t="shared" ref="AY10:AY18" si="4">COUNTIF($E10:$AT10,"X")</f>
        <v>4</v>
      </c>
      <c r="AZ10" s="493"/>
      <c r="BA10" s="493">
        <f t="shared" ref="BA10:BA18" si="5">COUNTIF($E10:$AT10,"Aw")</f>
        <v>2</v>
      </c>
      <c r="BB10" s="494">
        <f t="shared" ref="BB10:BB18" si="6">COUNTIF($E10:$AT10,"Cw")</f>
        <v>2</v>
      </c>
      <c r="BC10" s="495">
        <f t="shared" ref="BC10:BC18" si="7">COUNTIF($E10:$AT10,"Bw")</f>
        <v>2</v>
      </c>
      <c r="BD10" s="489"/>
      <c r="BE10" s="490"/>
      <c r="BF10" s="491"/>
    </row>
    <row r="11" spans="2:59" ht="18.600000000000001" thickBot="1" x14ac:dyDescent="0.35">
      <c r="B11" s="103"/>
      <c r="C11" s="97"/>
      <c r="D11" s="492"/>
      <c r="E11" s="368">
        <v>7</v>
      </c>
      <c r="F11" s="368">
        <v>7</v>
      </c>
      <c r="G11" s="368">
        <v>7</v>
      </c>
      <c r="H11" s="368">
        <v>7</v>
      </c>
      <c r="I11" s="367"/>
      <c r="J11" s="332">
        <v>7</v>
      </c>
      <c r="K11" s="334">
        <v>7</v>
      </c>
      <c r="L11" s="351">
        <v>7</v>
      </c>
      <c r="M11" s="352"/>
      <c r="N11" s="351">
        <v>7</v>
      </c>
      <c r="O11" s="351">
        <v>7</v>
      </c>
      <c r="P11" s="351">
        <v>7</v>
      </c>
      <c r="Q11" s="353"/>
      <c r="R11" s="354"/>
      <c r="S11" s="358">
        <v>7</v>
      </c>
      <c r="T11" s="358">
        <v>7</v>
      </c>
      <c r="U11" s="358">
        <v>7</v>
      </c>
      <c r="V11" s="359"/>
      <c r="W11" s="360">
        <v>7</v>
      </c>
      <c r="X11" s="361">
        <v>7</v>
      </c>
      <c r="Y11" s="362">
        <v>7</v>
      </c>
      <c r="Z11" s="367"/>
      <c r="AA11" s="351">
        <v>7</v>
      </c>
      <c r="AB11" s="360">
        <v>7</v>
      </c>
      <c r="AC11" s="360">
        <v>7</v>
      </c>
      <c r="AD11" s="368">
        <v>7</v>
      </c>
      <c r="AE11" s="369"/>
      <c r="AF11" s="370"/>
      <c r="AG11" s="374">
        <v>7</v>
      </c>
      <c r="AH11" s="374">
        <v>7</v>
      </c>
      <c r="AI11" s="374">
        <v>7</v>
      </c>
      <c r="AJ11" s="374">
        <v>7</v>
      </c>
      <c r="AK11" s="352"/>
      <c r="AL11" s="375">
        <v>7</v>
      </c>
      <c r="AM11" s="376">
        <v>7</v>
      </c>
      <c r="AN11" s="360">
        <v>7</v>
      </c>
      <c r="AO11" s="360">
        <v>7</v>
      </c>
      <c r="AP11" s="378"/>
      <c r="AQ11" s="358">
        <v>7</v>
      </c>
      <c r="AR11" s="358">
        <v>7</v>
      </c>
      <c r="AS11" s="379"/>
      <c r="AT11" s="380"/>
      <c r="AU11" s="496"/>
      <c r="AV11" s="497"/>
      <c r="AW11" s="497"/>
      <c r="AX11" s="497"/>
      <c r="AY11" s="498"/>
      <c r="AZ11" s="499"/>
      <c r="BA11" s="496"/>
      <c r="BB11" s="497"/>
      <c r="BC11" s="498"/>
      <c r="BD11" s="489">
        <f>SUM(E11:AT11)</f>
        <v>210</v>
      </c>
      <c r="BE11" s="490">
        <f>35*6*D10</f>
        <v>210</v>
      </c>
      <c r="BF11" s="491">
        <f t="shared" ref="BF11:BF17" si="8">BD11-BE11</f>
        <v>0</v>
      </c>
      <c r="BG11">
        <f t="shared" ref="BG11:BG19" si="9">BF11/7</f>
        <v>0</v>
      </c>
    </row>
    <row r="12" spans="2:59" ht="18" x14ac:dyDescent="0.3">
      <c r="B12" s="103">
        <v>3</v>
      </c>
      <c r="C12" s="97" t="s">
        <v>123</v>
      </c>
      <c r="D12" s="492">
        <v>1</v>
      </c>
      <c r="E12" s="357" t="s">
        <v>124</v>
      </c>
      <c r="F12" s="357" t="s">
        <v>124</v>
      </c>
      <c r="G12" s="377"/>
      <c r="H12" s="355" t="s">
        <v>123</v>
      </c>
      <c r="I12" s="355" t="s">
        <v>123</v>
      </c>
      <c r="J12" s="365"/>
      <c r="K12" s="366"/>
      <c r="L12" s="364" t="s">
        <v>6</v>
      </c>
      <c r="M12" s="364" t="s">
        <v>6</v>
      </c>
      <c r="N12" s="364" t="s">
        <v>6</v>
      </c>
      <c r="O12" s="364" t="s">
        <v>6</v>
      </c>
      <c r="P12" s="363"/>
      <c r="Q12" s="381" t="s">
        <v>158</v>
      </c>
      <c r="R12" s="382" t="s">
        <v>158</v>
      </c>
      <c r="S12" s="346" t="s">
        <v>9</v>
      </c>
      <c r="T12" s="347"/>
      <c r="U12" s="346" t="s">
        <v>9</v>
      </c>
      <c r="V12" s="346" t="s">
        <v>9</v>
      </c>
      <c r="W12" s="346" t="s">
        <v>9</v>
      </c>
      <c r="X12" s="348"/>
      <c r="Y12" s="349"/>
      <c r="Z12" s="355" t="s">
        <v>123</v>
      </c>
      <c r="AA12" s="355" t="s">
        <v>123</v>
      </c>
      <c r="AB12" s="355" t="s">
        <v>123</v>
      </c>
      <c r="AC12" s="356"/>
      <c r="AD12" s="357" t="s">
        <v>124</v>
      </c>
      <c r="AE12" s="237" t="s">
        <v>156</v>
      </c>
      <c r="AF12" s="239" t="s">
        <v>156</v>
      </c>
      <c r="AG12" s="363"/>
      <c r="AH12" s="346" t="s">
        <v>9</v>
      </c>
      <c r="AI12" s="357" t="s">
        <v>124</v>
      </c>
      <c r="AJ12" s="357" t="s">
        <v>124</v>
      </c>
      <c r="AK12" s="364" t="s">
        <v>6</v>
      </c>
      <c r="AL12" s="365"/>
      <c r="AM12" s="366"/>
      <c r="AN12" s="371" t="s">
        <v>141</v>
      </c>
      <c r="AO12" s="371" t="s">
        <v>141</v>
      </c>
      <c r="AP12" s="371" t="s">
        <v>141</v>
      </c>
      <c r="AQ12" s="371" t="s">
        <v>141</v>
      </c>
      <c r="AR12" s="347"/>
      <c r="AS12" s="372" t="s">
        <v>157</v>
      </c>
      <c r="AT12" s="373" t="s">
        <v>157</v>
      </c>
      <c r="AU12" s="476">
        <f t="shared" si="0"/>
        <v>5</v>
      </c>
      <c r="AV12" s="477">
        <f t="shared" si="1"/>
        <v>5</v>
      </c>
      <c r="AW12" s="477">
        <f t="shared" si="2"/>
        <v>5</v>
      </c>
      <c r="AX12" s="477">
        <f t="shared" si="3"/>
        <v>5</v>
      </c>
      <c r="AY12" s="478">
        <f t="shared" si="4"/>
        <v>4</v>
      </c>
      <c r="AZ12" s="476"/>
      <c r="BA12" s="476">
        <f t="shared" si="5"/>
        <v>2</v>
      </c>
      <c r="BB12" s="477">
        <f t="shared" si="6"/>
        <v>2</v>
      </c>
      <c r="BC12" s="478">
        <f t="shared" si="7"/>
        <v>2</v>
      </c>
      <c r="BD12" s="489"/>
      <c r="BE12" s="490"/>
      <c r="BF12" s="491"/>
    </row>
    <row r="13" spans="2:59" ht="18.600000000000001" thickBot="1" x14ac:dyDescent="0.35">
      <c r="B13" s="103"/>
      <c r="C13" s="97"/>
      <c r="D13" s="492"/>
      <c r="E13" s="360">
        <v>7</v>
      </c>
      <c r="F13" s="360">
        <v>7</v>
      </c>
      <c r="G13" s="378"/>
      <c r="H13" s="358">
        <v>7</v>
      </c>
      <c r="I13" s="358">
        <v>7</v>
      </c>
      <c r="J13" s="379"/>
      <c r="K13" s="380"/>
      <c r="L13" s="368">
        <v>7</v>
      </c>
      <c r="M13" s="368">
        <v>7</v>
      </c>
      <c r="N13" s="368">
        <v>7</v>
      </c>
      <c r="O13" s="368">
        <v>7</v>
      </c>
      <c r="P13" s="367"/>
      <c r="Q13" s="332">
        <v>7</v>
      </c>
      <c r="R13" s="334">
        <v>7</v>
      </c>
      <c r="S13" s="351">
        <v>7</v>
      </c>
      <c r="T13" s="352"/>
      <c r="U13" s="351">
        <v>7</v>
      </c>
      <c r="V13" s="351">
        <v>7</v>
      </c>
      <c r="W13" s="351">
        <v>7</v>
      </c>
      <c r="X13" s="353"/>
      <c r="Y13" s="354"/>
      <c r="Z13" s="358">
        <v>7</v>
      </c>
      <c r="AA13" s="358">
        <v>7</v>
      </c>
      <c r="AB13" s="358">
        <v>7</v>
      </c>
      <c r="AC13" s="359"/>
      <c r="AD13" s="360">
        <v>7</v>
      </c>
      <c r="AE13" s="361">
        <v>7</v>
      </c>
      <c r="AF13" s="362">
        <v>7</v>
      </c>
      <c r="AG13" s="367"/>
      <c r="AH13" s="351">
        <v>7</v>
      </c>
      <c r="AI13" s="360">
        <v>7</v>
      </c>
      <c r="AJ13" s="360">
        <v>7</v>
      </c>
      <c r="AK13" s="368">
        <v>7</v>
      </c>
      <c r="AL13" s="369"/>
      <c r="AM13" s="370"/>
      <c r="AN13" s="374">
        <v>7</v>
      </c>
      <c r="AO13" s="374">
        <v>7</v>
      </c>
      <c r="AP13" s="374">
        <v>7</v>
      </c>
      <c r="AQ13" s="374">
        <v>7</v>
      </c>
      <c r="AR13" s="352"/>
      <c r="AS13" s="375">
        <v>7</v>
      </c>
      <c r="AT13" s="376">
        <v>7</v>
      </c>
      <c r="AU13" s="485"/>
      <c r="AV13" s="486"/>
      <c r="AW13" s="486"/>
      <c r="AX13" s="486"/>
      <c r="AY13" s="487"/>
      <c r="AZ13" s="488"/>
      <c r="BA13" s="485"/>
      <c r="BB13" s="486"/>
      <c r="BC13" s="487"/>
      <c r="BD13" s="489">
        <f>SUM(E13:AT13)</f>
        <v>210</v>
      </c>
      <c r="BE13" s="490">
        <f>35*6*D12</f>
        <v>210</v>
      </c>
      <c r="BF13" s="491">
        <f t="shared" si="8"/>
        <v>0</v>
      </c>
      <c r="BG13">
        <f t="shared" si="9"/>
        <v>0</v>
      </c>
    </row>
    <row r="14" spans="2:59" ht="18" x14ac:dyDescent="0.3">
      <c r="B14" s="103">
        <v>4</v>
      </c>
      <c r="C14" s="97" t="s">
        <v>165</v>
      </c>
      <c r="D14" s="492">
        <v>1</v>
      </c>
      <c r="E14" s="371" t="s">
        <v>141</v>
      </c>
      <c r="F14" s="371" t="s">
        <v>141</v>
      </c>
      <c r="G14" s="371" t="s">
        <v>141</v>
      </c>
      <c r="H14" s="371" t="s">
        <v>141</v>
      </c>
      <c r="I14" s="347"/>
      <c r="J14" s="372" t="s">
        <v>157</v>
      </c>
      <c r="K14" s="373" t="s">
        <v>157</v>
      </c>
      <c r="L14" s="357" t="s">
        <v>124</v>
      </c>
      <c r="M14" s="357" t="s">
        <v>124</v>
      </c>
      <c r="N14" s="377"/>
      <c r="O14" s="355" t="s">
        <v>123</v>
      </c>
      <c r="P14" s="355" t="s">
        <v>123</v>
      </c>
      <c r="Q14" s="365"/>
      <c r="R14" s="366"/>
      <c r="S14" s="364" t="s">
        <v>6</v>
      </c>
      <c r="T14" s="364" t="s">
        <v>6</v>
      </c>
      <c r="U14" s="364" t="s">
        <v>6</v>
      </c>
      <c r="V14" s="364" t="s">
        <v>6</v>
      </c>
      <c r="W14" s="363"/>
      <c r="X14" s="381" t="s">
        <v>158</v>
      </c>
      <c r="Y14" s="382" t="s">
        <v>158</v>
      </c>
      <c r="Z14" s="346" t="s">
        <v>9</v>
      </c>
      <c r="AA14" s="347"/>
      <c r="AB14" s="346" t="s">
        <v>9</v>
      </c>
      <c r="AC14" s="346" t="s">
        <v>9</v>
      </c>
      <c r="AD14" s="346" t="s">
        <v>9</v>
      </c>
      <c r="AE14" s="348"/>
      <c r="AF14" s="349"/>
      <c r="AG14" s="355" t="s">
        <v>123</v>
      </c>
      <c r="AH14" s="355" t="s">
        <v>123</v>
      </c>
      <c r="AI14" s="355" t="s">
        <v>123</v>
      </c>
      <c r="AJ14" s="356"/>
      <c r="AK14" s="357" t="s">
        <v>124</v>
      </c>
      <c r="AL14" s="237" t="s">
        <v>156</v>
      </c>
      <c r="AM14" s="239" t="s">
        <v>156</v>
      </c>
      <c r="AN14" s="363"/>
      <c r="AO14" s="346" t="s">
        <v>9</v>
      </c>
      <c r="AP14" s="357" t="s">
        <v>124</v>
      </c>
      <c r="AQ14" s="357" t="s">
        <v>124</v>
      </c>
      <c r="AR14" s="364" t="s">
        <v>6</v>
      </c>
      <c r="AS14" s="365"/>
      <c r="AT14" s="366"/>
      <c r="AU14" s="493">
        <f t="shared" si="0"/>
        <v>5</v>
      </c>
      <c r="AV14" s="494">
        <f t="shared" si="1"/>
        <v>5</v>
      </c>
      <c r="AW14" s="494">
        <f t="shared" si="2"/>
        <v>5</v>
      </c>
      <c r="AX14" s="494">
        <f t="shared" si="3"/>
        <v>5</v>
      </c>
      <c r="AY14" s="495">
        <f t="shared" si="4"/>
        <v>4</v>
      </c>
      <c r="AZ14" s="493"/>
      <c r="BA14" s="493">
        <f t="shared" si="5"/>
        <v>2</v>
      </c>
      <c r="BB14" s="494">
        <f t="shared" si="6"/>
        <v>2</v>
      </c>
      <c r="BC14" s="495">
        <f t="shared" si="7"/>
        <v>2</v>
      </c>
      <c r="BD14" s="489"/>
      <c r="BE14" s="490"/>
      <c r="BF14" s="491"/>
    </row>
    <row r="15" spans="2:59" ht="18.600000000000001" thickBot="1" x14ac:dyDescent="0.35">
      <c r="B15" s="103"/>
      <c r="C15" s="97"/>
      <c r="D15" s="492"/>
      <c r="E15" s="374">
        <v>7</v>
      </c>
      <c r="F15" s="374">
        <v>7</v>
      </c>
      <c r="G15" s="374">
        <v>7</v>
      </c>
      <c r="H15" s="374">
        <v>7</v>
      </c>
      <c r="I15" s="352"/>
      <c r="J15" s="375">
        <v>7</v>
      </c>
      <c r="K15" s="376">
        <v>7</v>
      </c>
      <c r="L15" s="360">
        <v>7</v>
      </c>
      <c r="M15" s="360">
        <v>7</v>
      </c>
      <c r="N15" s="378"/>
      <c r="O15" s="358">
        <v>7</v>
      </c>
      <c r="P15" s="358">
        <v>7</v>
      </c>
      <c r="Q15" s="379"/>
      <c r="R15" s="380"/>
      <c r="S15" s="368">
        <v>7</v>
      </c>
      <c r="T15" s="368">
        <v>7</v>
      </c>
      <c r="U15" s="368">
        <v>7</v>
      </c>
      <c r="V15" s="368">
        <v>7</v>
      </c>
      <c r="W15" s="367"/>
      <c r="X15" s="332">
        <v>7</v>
      </c>
      <c r="Y15" s="334">
        <v>7</v>
      </c>
      <c r="Z15" s="351">
        <v>7</v>
      </c>
      <c r="AA15" s="352"/>
      <c r="AB15" s="351">
        <v>7</v>
      </c>
      <c r="AC15" s="351">
        <v>7</v>
      </c>
      <c r="AD15" s="351">
        <v>7</v>
      </c>
      <c r="AE15" s="353"/>
      <c r="AF15" s="354"/>
      <c r="AG15" s="358">
        <v>7</v>
      </c>
      <c r="AH15" s="358">
        <v>7</v>
      </c>
      <c r="AI15" s="358">
        <v>7</v>
      </c>
      <c r="AJ15" s="359"/>
      <c r="AK15" s="360">
        <v>7</v>
      </c>
      <c r="AL15" s="361">
        <v>7</v>
      </c>
      <c r="AM15" s="362">
        <v>7</v>
      </c>
      <c r="AN15" s="367"/>
      <c r="AO15" s="351">
        <v>7</v>
      </c>
      <c r="AP15" s="360">
        <v>7</v>
      </c>
      <c r="AQ15" s="360">
        <v>7</v>
      </c>
      <c r="AR15" s="368">
        <v>7</v>
      </c>
      <c r="AS15" s="369"/>
      <c r="AT15" s="370"/>
      <c r="AU15" s="496"/>
      <c r="AV15" s="497"/>
      <c r="AW15" s="497"/>
      <c r="AX15" s="497"/>
      <c r="AY15" s="498"/>
      <c r="AZ15" s="499"/>
      <c r="BA15" s="496"/>
      <c r="BB15" s="497"/>
      <c r="BC15" s="498"/>
      <c r="BD15" s="489">
        <f>SUM(E15:AT15)</f>
        <v>210</v>
      </c>
      <c r="BE15" s="490">
        <f t="shared" ref="BE15:BE19" si="10">35*6*D14</f>
        <v>210</v>
      </c>
      <c r="BF15" s="491">
        <f t="shared" si="8"/>
        <v>0</v>
      </c>
      <c r="BG15">
        <f t="shared" si="9"/>
        <v>0</v>
      </c>
    </row>
    <row r="16" spans="2:59" ht="18" x14ac:dyDescent="0.3">
      <c r="B16" s="103">
        <v>5</v>
      </c>
      <c r="C16" s="97" t="s">
        <v>169</v>
      </c>
      <c r="D16" s="492">
        <v>1</v>
      </c>
      <c r="E16" s="363"/>
      <c r="F16" s="346" t="s">
        <v>9</v>
      </c>
      <c r="G16" s="357" t="s">
        <v>124</v>
      </c>
      <c r="H16" s="357" t="s">
        <v>124</v>
      </c>
      <c r="I16" s="364" t="s">
        <v>6</v>
      </c>
      <c r="J16" s="365"/>
      <c r="K16" s="366"/>
      <c r="L16" s="371" t="s">
        <v>141</v>
      </c>
      <c r="M16" s="371" t="s">
        <v>141</v>
      </c>
      <c r="N16" s="371" t="s">
        <v>141</v>
      </c>
      <c r="O16" s="371" t="s">
        <v>141</v>
      </c>
      <c r="P16" s="347"/>
      <c r="Q16" s="372" t="s">
        <v>157</v>
      </c>
      <c r="R16" s="373" t="s">
        <v>157</v>
      </c>
      <c r="S16" s="357" t="s">
        <v>124</v>
      </c>
      <c r="T16" s="357" t="s">
        <v>124</v>
      </c>
      <c r="U16" s="377"/>
      <c r="V16" s="355" t="s">
        <v>123</v>
      </c>
      <c r="W16" s="355" t="s">
        <v>123</v>
      </c>
      <c r="X16" s="365"/>
      <c r="Y16" s="366"/>
      <c r="Z16" s="364" t="s">
        <v>6</v>
      </c>
      <c r="AA16" s="364" t="s">
        <v>6</v>
      </c>
      <c r="AB16" s="364" t="s">
        <v>6</v>
      </c>
      <c r="AC16" s="364" t="s">
        <v>6</v>
      </c>
      <c r="AD16" s="363"/>
      <c r="AE16" s="381" t="s">
        <v>158</v>
      </c>
      <c r="AF16" s="382" t="s">
        <v>158</v>
      </c>
      <c r="AG16" s="346" t="s">
        <v>9</v>
      </c>
      <c r="AH16" s="347"/>
      <c r="AI16" s="346" t="s">
        <v>9</v>
      </c>
      <c r="AJ16" s="346" t="s">
        <v>9</v>
      </c>
      <c r="AK16" s="346" t="s">
        <v>9</v>
      </c>
      <c r="AL16" s="348"/>
      <c r="AM16" s="349"/>
      <c r="AN16" s="355" t="s">
        <v>123</v>
      </c>
      <c r="AO16" s="355" t="s">
        <v>123</v>
      </c>
      <c r="AP16" s="355" t="s">
        <v>123</v>
      </c>
      <c r="AQ16" s="356"/>
      <c r="AR16" s="357" t="s">
        <v>124</v>
      </c>
      <c r="AS16" s="237" t="s">
        <v>156</v>
      </c>
      <c r="AT16" s="239" t="s">
        <v>156</v>
      </c>
      <c r="AU16" s="476">
        <f t="shared" si="0"/>
        <v>5</v>
      </c>
      <c r="AV16" s="477">
        <f t="shared" si="1"/>
        <v>5</v>
      </c>
      <c r="AW16" s="477">
        <f t="shared" si="2"/>
        <v>5</v>
      </c>
      <c r="AX16" s="477">
        <f t="shared" si="3"/>
        <v>5</v>
      </c>
      <c r="AY16" s="478">
        <f t="shared" si="4"/>
        <v>4</v>
      </c>
      <c r="AZ16" s="476"/>
      <c r="BA16" s="476">
        <f t="shared" si="5"/>
        <v>2</v>
      </c>
      <c r="BB16" s="477">
        <f t="shared" si="6"/>
        <v>2</v>
      </c>
      <c r="BC16" s="478">
        <f t="shared" si="7"/>
        <v>2</v>
      </c>
      <c r="BD16" s="489"/>
      <c r="BE16" s="490"/>
      <c r="BF16" s="491"/>
    </row>
    <row r="17" spans="2:69" ht="18.600000000000001" thickBot="1" x14ac:dyDescent="0.35">
      <c r="B17" s="103"/>
      <c r="C17" s="97"/>
      <c r="D17" s="492"/>
      <c r="E17" s="367"/>
      <c r="F17" s="351">
        <v>7</v>
      </c>
      <c r="G17" s="360">
        <v>7</v>
      </c>
      <c r="H17" s="360">
        <v>7</v>
      </c>
      <c r="I17" s="368">
        <v>7</v>
      </c>
      <c r="J17" s="369"/>
      <c r="K17" s="370"/>
      <c r="L17" s="374">
        <v>7</v>
      </c>
      <c r="M17" s="374">
        <v>7</v>
      </c>
      <c r="N17" s="374">
        <v>7</v>
      </c>
      <c r="O17" s="374">
        <v>7</v>
      </c>
      <c r="P17" s="352"/>
      <c r="Q17" s="375">
        <v>7</v>
      </c>
      <c r="R17" s="376">
        <v>7</v>
      </c>
      <c r="S17" s="360">
        <v>7</v>
      </c>
      <c r="T17" s="360">
        <v>7</v>
      </c>
      <c r="U17" s="378"/>
      <c r="V17" s="358">
        <v>7</v>
      </c>
      <c r="W17" s="358">
        <v>7</v>
      </c>
      <c r="X17" s="379"/>
      <c r="Y17" s="380"/>
      <c r="Z17" s="368">
        <v>7</v>
      </c>
      <c r="AA17" s="368">
        <v>7</v>
      </c>
      <c r="AB17" s="368">
        <v>7</v>
      </c>
      <c r="AC17" s="368">
        <v>7</v>
      </c>
      <c r="AD17" s="367"/>
      <c r="AE17" s="332">
        <v>7</v>
      </c>
      <c r="AF17" s="334">
        <v>7</v>
      </c>
      <c r="AG17" s="351">
        <v>7</v>
      </c>
      <c r="AH17" s="352"/>
      <c r="AI17" s="351">
        <v>7</v>
      </c>
      <c r="AJ17" s="351">
        <v>7</v>
      </c>
      <c r="AK17" s="351">
        <v>7</v>
      </c>
      <c r="AL17" s="353"/>
      <c r="AM17" s="354"/>
      <c r="AN17" s="358">
        <v>7</v>
      </c>
      <c r="AO17" s="358">
        <v>7</v>
      </c>
      <c r="AP17" s="358">
        <v>7</v>
      </c>
      <c r="AQ17" s="359"/>
      <c r="AR17" s="360">
        <v>7</v>
      </c>
      <c r="AS17" s="361">
        <v>7</v>
      </c>
      <c r="AT17" s="362">
        <v>7</v>
      </c>
      <c r="AU17" s="485"/>
      <c r="AV17" s="486"/>
      <c r="AW17" s="486"/>
      <c r="AX17" s="486"/>
      <c r="AY17" s="487"/>
      <c r="AZ17" s="488"/>
      <c r="BA17" s="485"/>
      <c r="BB17" s="486"/>
      <c r="BC17" s="487"/>
      <c r="BD17" s="489">
        <f>SUM(E17:AT17)</f>
        <v>210</v>
      </c>
      <c r="BE17" s="490">
        <f t="shared" si="10"/>
        <v>210</v>
      </c>
      <c r="BF17" s="491">
        <f t="shared" si="8"/>
        <v>0</v>
      </c>
      <c r="BG17">
        <f t="shared" si="9"/>
        <v>0</v>
      </c>
    </row>
    <row r="18" spans="2:69" ht="18" x14ac:dyDescent="0.3">
      <c r="B18" s="103">
        <v>6</v>
      </c>
      <c r="C18" s="97" t="s">
        <v>170</v>
      </c>
      <c r="D18" s="492">
        <v>0.75</v>
      </c>
      <c r="E18" s="355" t="s">
        <v>123</v>
      </c>
      <c r="F18" s="355" t="s">
        <v>123</v>
      </c>
      <c r="G18" s="355" t="s">
        <v>123</v>
      </c>
      <c r="H18" s="356"/>
      <c r="I18" s="357" t="s">
        <v>124</v>
      </c>
      <c r="J18" s="237" t="s">
        <v>156</v>
      </c>
      <c r="K18" s="239" t="s">
        <v>156</v>
      </c>
      <c r="L18" s="363"/>
      <c r="M18" s="346" t="s">
        <v>9</v>
      </c>
      <c r="N18" s="357" t="s">
        <v>124</v>
      </c>
      <c r="O18" s="357" t="s">
        <v>124</v>
      </c>
      <c r="P18" s="364" t="s">
        <v>6</v>
      </c>
      <c r="Q18" s="365"/>
      <c r="R18" s="366"/>
      <c r="S18" s="500"/>
      <c r="T18" s="500"/>
      <c r="U18" s="500"/>
      <c r="V18" s="500"/>
      <c r="W18" s="347"/>
      <c r="X18" s="372" t="s">
        <v>157</v>
      </c>
      <c r="Y18" s="373" t="s">
        <v>157</v>
      </c>
      <c r="Z18" s="357" t="s">
        <v>124</v>
      </c>
      <c r="AA18" s="357" t="s">
        <v>124</v>
      </c>
      <c r="AB18" s="377"/>
      <c r="AC18" s="355" t="s">
        <v>123</v>
      </c>
      <c r="AD18" s="355" t="s">
        <v>123</v>
      </c>
      <c r="AE18" s="365"/>
      <c r="AF18" s="366"/>
      <c r="AG18" s="364" t="s">
        <v>6</v>
      </c>
      <c r="AH18" s="364" t="s">
        <v>6</v>
      </c>
      <c r="AI18" s="364" t="s">
        <v>6</v>
      </c>
      <c r="AJ18" s="364" t="s">
        <v>6</v>
      </c>
      <c r="AK18" s="363"/>
      <c r="AL18" s="381" t="s">
        <v>158</v>
      </c>
      <c r="AM18" s="382" t="s">
        <v>158</v>
      </c>
      <c r="AN18" s="346" t="s">
        <v>9</v>
      </c>
      <c r="AO18" s="347"/>
      <c r="AP18" s="346" t="s">
        <v>9</v>
      </c>
      <c r="AQ18" s="346" t="s">
        <v>9</v>
      </c>
      <c r="AR18" s="346" t="s">
        <v>9</v>
      </c>
      <c r="AS18" s="348"/>
      <c r="AT18" s="349"/>
      <c r="AU18" s="493">
        <f t="shared" si="0"/>
        <v>5</v>
      </c>
      <c r="AV18" s="494">
        <f t="shared" si="1"/>
        <v>5</v>
      </c>
      <c r="AW18" s="494">
        <f t="shared" si="2"/>
        <v>5</v>
      </c>
      <c r="AX18" s="494">
        <f t="shared" si="3"/>
        <v>5</v>
      </c>
      <c r="AY18" s="495">
        <f t="shared" si="4"/>
        <v>0</v>
      </c>
      <c r="AZ18" s="493"/>
      <c r="BA18" s="493">
        <f t="shared" si="5"/>
        <v>2</v>
      </c>
      <c r="BB18" s="494">
        <f t="shared" si="6"/>
        <v>2</v>
      </c>
      <c r="BC18" s="495">
        <f t="shared" si="7"/>
        <v>2</v>
      </c>
      <c r="BD18" s="489"/>
      <c r="BE18" s="490"/>
      <c r="BF18" s="491"/>
    </row>
    <row r="19" spans="2:69" ht="18.600000000000001" thickBot="1" x14ac:dyDescent="0.35">
      <c r="B19" s="103"/>
      <c r="C19" s="97"/>
      <c r="D19" s="492"/>
      <c r="E19" s="358">
        <v>7</v>
      </c>
      <c r="F19" s="358">
        <v>7</v>
      </c>
      <c r="G19" s="358">
        <v>7</v>
      </c>
      <c r="H19" s="359"/>
      <c r="I19" s="360">
        <v>7</v>
      </c>
      <c r="J19" s="361">
        <v>7</v>
      </c>
      <c r="K19" s="362">
        <v>7</v>
      </c>
      <c r="L19" s="367"/>
      <c r="M19" s="351">
        <v>7</v>
      </c>
      <c r="N19" s="360">
        <v>7</v>
      </c>
      <c r="O19" s="360">
        <v>7</v>
      </c>
      <c r="P19" s="368">
        <v>7</v>
      </c>
      <c r="Q19" s="369"/>
      <c r="R19" s="370"/>
      <c r="S19" s="501"/>
      <c r="T19" s="501"/>
      <c r="U19" s="501"/>
      <c r="V19" s="501"/>
      <c r="W19" s="352"/>
      <c r="X19" s="375">
        <v>7</v>
      </c>
      <c r="Y19" s="376">
        <v>7</v>
      </c>
      <c r="Z19" s="360">
        <v>7</v>
      </c>
      <c r="AA19" s="360">
        <v>7</v>
      </c>
      <c r="AB19" s="378"/>
      <c r="AC19" s="358">
        <v>7</v>
      </c>
      <c r="AD19" s="358">
        <v>7</v>
      </c>
      <c r="AE19" s="379"/>
      <c r="AF19" s="380"/>
      <c r="AG19" s="368">
        <v>7</v>
      </c>
      <c r="AH19" s="368">
        <v>7</v>
      </c>
      <c r="AI19" s="368">
        <v>7</v>
      </c>
      <c r="AJ19" s="368">
        <v>7</v>
      </c>
      <c r="AK19" s="367"/>
      <c r="AL19" s="332">
        <v>7</v>
      </c>
      <c r="AM19" s="334">
        <v>7</v>
      </c>
      <c r="AN19" s="351">
        <v>7</v>
      </c>
      <c r="AO19" s="352"/>
      <c r="AP19" s="351">
        <v>7</v>
      </c>
      <c r="AQ19" s="351">
        <v>7</v>
      </c>
      <c r="AR19" s="351">
        <v>7</v>
      </c>
      <c r="AS19" s="353"/>
      <c r="AT19" s="354"/>
      <c r="AU19" s="485"/>
      <c r="AV19" s="486"/>
      <c r="AW19" s="486"/>
      <c r="AX19" s="486"/>
      <c r="AY19" s="487"/>
      <c r="AZ19" s="493"/>
      <c r="BA19" s="485"/>
      <c r="BB19" s="486"/>
      <c r="BC19" s="487"/>
      <c r="BD19" s="502">
        <f>SUM(E19:AT19)</f>
        <v>182</v>
      </c>
      <c r="BE19" s="490">
        <f t="shared" si="10"/>
        <v>157.5</v>
      </c>
      <c r="BF19" s="503">
        <f>BD19-BE19</f>
        <v>24.5</v>
      </c>
      <c r="BG19">
        <f t="shared" si="9"/>
        <v>3.5</v>
      </c>
      <c r="BI19" s="146" t="s">
        <v>171</v>
      </c>
    </row>
    <row r="20" spans="2:69" ht="18.600000000000001" thickBot="1" x14ac:dyDescent="0.35">
      <c r="B20" s="504"/>
      <c r="C20" s="505"/>
      <c r="D20" s="506" t="s">
        <v>172</v>
      </c>
      <c r="E20" s="507">
        <f>E9+E11+E13+E15+E17+E19</f>
        <v>35</v>
      </c>
      <c r="F20" s="508">
        <f t="shared" ref="F20:AT20" si="11">F9+F11+F13+F15+F17+F19</f>
        <v>35</v>
      </c>
      <c r="G20" s="508">
        <f t="shared" si="11"/>
        <v>35</v>
      </c>
      <c r="H20" s="508">
        <f t="shared" si="11"/>
        <v>35</v>
      </c>
      <c r="I20" s="509">
        <f t="shared" si="11"/>
        <v>28</v>
      </c>
      <c r="J20" s="510">
        <f t="shared" si="11"/>
        <v>21</v>
      </c>
      <c r="K20" s="511">
        <f t="shared" si="11"/>
        <v>21</v>
      </c>
      <c r="L20" s="507">
        <f t="shared" si="11"/>
        <v>35</v>
      </c>
      <c r="M20" s="508">
        <f t="shared" si="11"/>
        <v>35</v>
      </c>
      <c r="N20" s="508">
        <f t="shared" si="11"/>
        <v>35</v>
      </c>
      <c r="O20" s="508">
        <f t="shared" si="11"/>
        <v>35</v>
      </c>
      <c r="P20" s="509">
        <f t="shared" si="11"/>
        <v>28</v>
      </c>
      <c r="Q20" s="510">
        <f t="shared" si="11"/>
        <v>21</v>
      </c>
      <c r="R20" s="511">
        <f t="shared" si="11"/>
        <v>21</v>
      </c>
      <c r="S20" s="507">
        <f t="shared" si="11"/>
        <v>28</v>
      </c>
      <c r="T20" s="508">
        <f t="shared" si="11"/>
        <v>28</v>
      </c>
      <c r="U20" s="508">
        <f t="shared" si="11"/>
        <v>28</v>
      </c>
      <c r="V20" s="508">
        <f t="shared" si="11"/>
        <v>28</v>
      </c>
      <c r="W20" s="509">
        <f t="shared" si="11"/>
        <v>28</v>
      </c>
      <c r="X20" s="510">
        <f t="shared" si="11"/>
        <v>21</v>
      </c>
      <c r="Y20" s="511">
        <f t="shared" si="11"/>
        <v>21</v>
      </c>
      <c r="Z20" s="507">
        <f t="shared" si="11"/>
        <v>35</v>
      </c>
      <c r="AA20" s="508">
        <f t="shared" si="11"/>
        <v>35</v>
      </c>
      <c r="AB20" s="508">
        <f t="shared" si="11"/>
        <v>35</v>
      </c>
      <c r="AC20" s="508">
        <f t="shared" si="11"/>
        <v>35</v>
      </c>
      <c r="AD20" s="509">
        <f t="shared" si="11"/>
        <v>28</v>
      </c>
      <c r="AE20" s="510">
        <f t="shared" si="11"/>
        <v>21</v>
      </c>
      <c r="AF20" s="511">
        <f t="shared" si="11"/>
        <v>21</v>
      </c>
      <c r="AG20" s="507">
        <f t="shared" si="11"/>
        <v>35</v>
      </c>
      <c r="AH20" s="508">
        <f t="shared" si="11"/>
        <v>35</v>
      </c>
      <c r="AI20" s="508">
        <f t="shared" si="11"/>
        <v>35</v>
      </c>
      <c r="AJ20" s="508">
        <f t="shared" si="11"/>
        <v>35</v>
      </c>
      <c r="AK20" s="509">
        <f t="shared" si="11"/>
        <v>28</v>
      </c>
      <c r="AL20" s="510">
        <f t="shared" si="11"/>
        <v>21</v>
      </c>
      <c r="AM20" s="511">
        <f t="shared" si="11"/>
        <v>21</v>
      </c>
      <c r="AN20" s="507">
        <f t="shared" si="11"/>
        <v>35</v>
      </c>
      <c r="AO20" s="507">
        <f t="shared" si="11"/>
        <v>35</v>
      </c>
      <c r="AP20" s="507">
        <f t="shared" si="11"/>
        <v>35</v>
      </c>
      <c r="AQ20" s="507">
        <f t="shared" si="11"/>
        <v>35</v>
      </c>
      <c r="AR20" s="507">
        <f t="shared" si="11"/>
        <v>28</v>
      </c>
      <c r="AS20" s="510">
        <f t="shared" si="11"/>
        <v>21</v>
      </c>
      <c r="AT20" s="510">
        <f t="shared" si="11"/>
        <v>21</v>
      </c>
      <c r="AU20" s="512">
        <f>AU8+AU10+AU12+AU14+AU16+AU18</f>
        <v>30</v>
      </c>
      <c r="AV20" s="512">
        <f t="shared" ref="AV20:AY20" si="12">AV8+AV10+AV12+AV14+AV16+AV18</f>
        <v>30</v>
      </c>
      <c r="AW20" s="512">
        <f t="shared" si="12"/>
        <v>30</v>
      </c>
      <c r="AX20" s="512">
        <f t="shared" si="12"/>
        <v>30</v>
      </c>
      <c r="AY20" s="512">
        <f t="shared" si="12"/>
        <v>20</v>
      </c>
      <c r="AZ20" s="512"/>
      <c r="BA20" s="512">
        <f>BA8+BA10+BA12+BA14+BA16+BA18</f>
        <v>12</v>
      </c>
      <c r="BB20" s="512">
        <f t="shared" ref="BB20:BC20" si="13">BB8+BB10+BB12+BB14+BB16+BB18</f>
        <v>12</v>
      </c>
      <c r="BC20" s="512">
        <f t="shared" si="13"/>
        <v>12</v>
      </c>
      <c r="BD20" s="513">
        <f>BD19/6*52/1820</f>
        <v>0.86666666666666659</v>
      </c>
      <c r="BE20" s="514"/>
      <c r="BF20" s="515"/>
      <c r="BI20" s="713" t="s">
        <v>173</v>
      </c>
      <c r="BJ20" s="713"/>
      <c r="BK20" s="713"/>
      <c r="BL20" s="713"/>
      <c r="BM20" s="713"/>
      <c r="BN20" s="713"/>
      <c r="BO20" s="713"/>
    </row>
    <row r="21" spans="2:69" ht="18" x14ac:dyDescent="0.3">
      <c r="B21" s="350"/>
      <c r="C21" s="516"/>
      <c r="D21" s="364" t="s">
        <v>6</v>
      </c>
      <c r="E21" s="237">
        <f>COUNTIF(E$8:E$19,"A")</f>
        <v>1</v>
      </c>
      <c r="F21" s="517">
        <f t="shared" ref="F21:AR21" si="14">COUNTIF(F$8:F$19,"A")</f>
        <v>1</v>
      </c>
      <c r="G21" s="517">
        <f t="shared" si="14"/>
        <v>1</v>
      </c>
      <c r="H21" s="517">
        <f t="shared" si="14"/>
        <v>1</v>
      </c>
      <c r="I21" s="239">
        <f t="shared" si="14"/>
        <v>1</v>
      </c>
      <c r="J21" s="518"/>
      <c r="K21" s="519"/>
      <c r="L21" s="237">
        <f t="shared" si="14"/>
        <v>1</v>
      </c>
      <c r="M21" s="517">
        <f t="shared" si="14"/>
        <v>1</v>
      </c>
      <c r="N21" s="517">
        <f t="shared" si="14"/>
        <v>1</v>
      </c>
      <c r="O21" s="517">
        <f t="shared" si="14"/>
        <v>1</v>
      </c>
      <c r="P21" s="239">
        <f t="shared" si="14"/>
        <v>1</v>
      </c>
      <c r="Q21" s="518"/>
      <c r="R21" s="520"/>
      <c r="S21" s="237">
        <f t="shared" si="14"/>
        <v>1</v>
      </c>
      <c r="T21" s="517">
        <f t="shared" si="14"/>
        <v>1</v>
      </c>
      <c r="U21" s="517">
        <f t="shared" si="14"/>
        <v>1</v>
      </c>
      <c r="V21" s="517">
        <f t="shared" si="14"/>
        <v>1</v>
      </c>
      <c r="W21" s="239">
        <f t="shared" si="14"/>
        <v>1</v>
      </c>
      <c r="X21" s="518"/>
      <c r="Y21" s="519"/>
      <c r="Z21" s="237">
        <f t="shared" si="14"/>
        <v>1</v>
      </c>
      <c r="AA21" s="517">
        <f t="shared" si="14"/>
        <v>1</v>
      </c>
      <c r="AB21" s="517">
        <f t="shared" si="14"/>
        <v>1</v>
      </c>
      <c r="AC21" s="517">
        <f t="shared" si="14"/>
        <v>1</v>
      </c>
      <c r="AD21" s="239">
        <f t="shared" si="14"/>
        <v>1</v>
      </c>
      <c r="AE21" s="518"/>
      <c r="AF21" s="519"/>
      <c r="AG21" s="237">
        <f t="shared" si="14"/>
        <v>1</v>
      </c>
      <c r="AH21" s="517">
        <f t="shared" si="14"/>
        <v>1</v>
      </c>
      <c r="AI21" s="517">
        <f t="shared" si="14"/>
        <v>1</v>
      </c>
      <c r="AJ21" s="517">
        <f t="shared" si="14"/>
        <v>1</v>
      </c>
      <c r="AK21" s="239">
        <f t="shared" si="14"/>
        <v>1</v>
      </c>
      <c r="AL21" s="518"/>
      <c r="AM21" s="519"/>
      <c r="AN21" s="237">
        <f t="shared" si="14"/>
        <v>1</v>
      </c>
      <c r="AO21" s="517">
        <f t="shared" si="14"/>
        <v>1</v>
      </c>
      <c r="AP21" s="517">
        <f t="shared" si="14"/>
        <v>1</v>
      </c>
      <c r="AQ21" s="517">
        <f t="shared" si="14"/>
        <v>1</v>
      </c>
      <c r="AR21" s="239">
        <f t="shared" si="14"/>
        <v>1</v>
      </c>
      <c r="AS21" s="518"/>
      <c r="AT21" s="519"/>
      <c r="AU21" s="521"/>
      <c r="AV21" s="522"/>
      <c r="AW21" s="523"/>
      <c r="AX21" s="524"/>
      <c r="AY21" s="524"/>
      <c r="AZ21" s="524"/>
      <c r="BA21" s="524"/>
      <c r="BB21" s="524"/>
      <c r="BC21" s="525"/>
      <c r="BD21" s="170"/>
      <c r="BE21" s="526"/>
      <c r="BF21" s="515"/>
      <c r="BG21" s="183"/>
      <c r="BH21" s="183"/>
      <c r="BI21" s="713"/>
      <c r="BJ21" s="713"/>
      <c r="BK21" s="713"/>
      <c r="BL21" s="713"/>
      <c r="BM21" s="713"/>
      <c r="BN21" s="713"/>
      <c r="BO21" s="713"/>
      <c r="BP21" s="183"/>
      <c r="BQ21" s="183"/>
    </row>
    <row r="22" spans="2:69" ht="18" x14ac:dyDescent="0.3">
      <c r="B22" s="527"/>
      <c r="C22" s="528"/>
      <c r="D22" s="529" t="s">
        <v>123</v>
      </c>
      <c r="E22" s="405">
        <f>COUNTIF(E$8:E$19,"C")</f>
        <v>1</v>
      </c>
      <c r="F22" s="398">
        <f t="shared" ref="F22:AR22" si="15">COUNTIF(F$8:F$19,"C")</f>
        <v>1</v>
      </c>
      <c r="G22" s="398">
        <f t="shared" si="15"/>
        <v>1</v>
      </c>
      <c r="H22" s="398">
        <f t="shared" si="15"/>
        <v>1</v>
      </c>
      <c r="I22" s="399">
        <f t="shared" si="15"/>
        <v>1</v>
      </c>
      <c r="J22" s="530"/>
      <c r="K22" s="531"/>
      <c r="L22" s="405">
        <f t="shared" si="15"/>
        <v>1</v>
      </c>
      <c r="M22" s="398">
        <f t="shared" si="15"/>
        <v>1</v>
      </c>
      <c r="N22" s="398">
        <f t="shared" si="15"/>
        <v>1</v>
      </c>
      <c r="O22" s="398">
        <f t="shared" si="15"/>
        <v>1</v>
      </c>
      <c r="P22" s="399">
        <f t="shared" si="15"/>
        <v>1</v>
      </c>
      <c r="Q22" s="530"/>
      <c r="R22" s="532"/>
      <c r="S22" s="405">
        <f t="shared" si="15"/>
        <v>1</v>
      </c>
      <c r="T22" s="398">
        <f t="shared" si="15"/>
        <v>1</v>
      </c>
      <c r="U22" s="398">
        <f t="shared" si="15"/>
        <v>1</v>
      </c>
      <c r="V22" s="398">
        <f t="shared" si="15"/>
        <v>1</v>
      </c>
      <c r="W22" s="399">
        <f t="shared" si="15"/>
        <v>1</v>
      </c>
      <c r="X22" s="530"/>
      <c r="Y22" s="531"/>
      <c r="Z22" s="405">
        <f t="shared" si="15"/>
        <v>1</v>
      </c>
      <c r="AA22" s="398">
        <f t="shared" si="15"/>
        <v>1</v>
      </c>
      <c r="AB22" s="398">
        <f t="shared" si="15"/>
        <v>1</v>
      </c>
      <c r="AC22" s="398">
        <f t="shared" si="15"/>
        <v>1</v>
      </c>
      <c r="AD22" s="399">
        <f t="shared" si="15"/>
        <v>1</v>
      </c>
      <c r="AE22" s="530"/>
      <c r="AF22" s="531"/>
      <c r="AG22" s="405">
        <f t="shared" si="15"/>
        <v>1</v>
      </c>
      <c r="AH22" s="398">
        <f t="shared" si="15"/>
        <v>1</v>
      </c>
      <c r="AI22" s="398">
        <f t="shared" si="15"/>
        <v>1</v>
      </c>
      <c r="AJ22" s="398">
        <f t="shared" si="15"/>
        <v>1</v>
      </c>
      <c r="AK22" s="399">
        <f t="shared" si="15"/>
        <v>1</v>
      </c>
      <c r="AL22" s="530"/>
      <c r="AM22" s="531"/>
      <c r="AN22" s="405">
        <f t="shared" si="15"/>
        <v>1</v>
      </c>
      <c r="AO22" s="398">
        <f t="shared" si="15"/>
        <v>1</v>
      </c>
      <c r="AP22" s="398">
        <f t="shared" si="15"/>
        <v>1</v>
      </c>
      <c r="AQ22" s="398">
        <f t="shared" si="15"/>
        <v>1</v>
      </c>
      <c r="AR22" s="399">
        <f t="shared" si="15"/>
        <v>1</v>
      </c>
      <c r="AS22" s="530"/>
      <c r="AT22" s="531"/>
      <c r="AU22" s="533"/>
      <c r="AV22" s="534"/>
      <c r="AW22" s="535" t="s">
        <v>174</v>
      </c>
      <c r="AX22" s="524"/>
      <c r="AY22" s="524"/>
      <c r="AZ22" s="524"/>
      <c r="BA22" s="524"/>
      <c r="BB22" s="524"/>
      <c r="BC22" s="534"/>
      <c r="BD22" s="536"/>
      <c r="BE22" s="537"/>
      <c r="BF22" s="537"/>
      <c r="BG22" s="538"/>
      <c r="BH22" s="538"/>
      <c r="BI22" s="713"/>
      <c r="BJ22" s="713"/>
      <c r="BK22" s="713"/>
      <c r="BL22" s="713"/>
      <c r="BM22" s="713"/>
      <c r="BN22" s="713"/>
      <c r="BO22" s="713"/>
      <c r="BP22" s="538"/>
      <c r="BQ22" s="538"/>
    </row>
    <row r="23" spans="2:69" ht="18" x14ac:dyDescent="0.3">
      <c r="B23" s="350"/>
      <c r="C23" s="539"/>
      <c r="D23" s="441" t="s">
        <v>9</v>
      </c>
      <c r="E23" s="405">
        <f>COUNTIF(E$8:E$19,"B")</f>
        <v>1</v>
      </c>
      <c r="F23" s="398">
        <f t="shared" ref="F23:AR23" si="16">COUNTIF(F$8:F$19,"B")</f>
        <v>1</v>
      </c>
      <c r="G23" s="398">
        <f t="shared" si="16"/>
        <v>1</v>
      </c>
      <c r="H23" s="398">
        <f t="shared" si="16"/>
        <v>1</v>
      </c>
      <c r="I23" s="399">
        <f t="shared" si="16"/>
        <v>1</v>
      </c>
      <c r="J23" s="530"/>
      <c r="K23" s="531"/>
      <c r="L23" s="405">
        <f t="shared" si="16"/>
        <v>1</v>
      </c>
      <c r="M23" s="398">
        <f t="shared" si="16"/>
        <v>1</v>
      </c>
      <c r="N23" s="398">
        <f t="shared" si="16"/>
        <v>1</v>
      </c>
      <c r="O23" s="398">
        <f t="shared" si="16"/>
        <v>1</v>
      </c>
      <c r="P23" s="399">
        <f t="shared" si="16"/>
        <v>1</v>
      </c>
      <c r="Q23" s="530"/>
      <c r="R23" s="532"/>
      <c r="S23" s="405">
        <f t="shared" si="16"/>
        <v>1</v>
      </c>
      <c r="T23" s="398">
        <f t="shared" si="16"/>
        <v>1</v>
      </c>
      <c r="U23" s="398">
        <f t="shared" si="16"/>
        <v>1</v>
      </c>
      <c r="V23" s="398">
        <f t="shared" si="16"/>
        <v>1</v>
      </c>
      <c r="W23" s="399">
        <f t="shared" si="16"/>
        <v>1</v>
      </c>
      <c r="X23" s="530"/>
      <c r="Y23" s="531"/>
      <c r="Z23" s="405">
        <f t="shared" si="16"/>
        <v>1</v>
      </c>
      <c r="AA23" s="398">
        <f t="shared" si="16"/>
        <v>1</v>
      </c>
      <c r="AB23" s="398">
        <f t="shared" si="16"/>
        <v>1</v>
      </c>
      <c r="AC23" s="398">
        <f t="shared" si="16"/>
        <v>1</v>
      </c>
      <c r="AD23" s="399">
        <f t="shared" si="16"/>
        <v>1</v>
      </c>
      <c r="AE23" s="530"/>
      <c r="AF23" s="531"/>
      <c r="AG23" s="405">
        <f t="shared" si="16"/>
        <v>1</v>
      </c>
      <c r="AH23" s="398">
        <f t="shared" si="16"/>
        <v>1</v>
      </c>
      <c r="AI23" s="398">
        <f t="shared" si="16"/>
        <v>1</v>
      </c>
      <c r="AJ23" s="398">
        <f t="shared" si="16"/>
        <v>1</v>
      </c>
      <c r="AK23" s="399">
        <f t="shared" si="16"/>
        <v>1</v>
      </c>
      <c r="AL23" s="530"/>
      <c r="AM23" s="531"/>
      <c r="AN23" s="405">
        <f t="shared" si="16"/>
        <v>1</v>
      </c>
      <c r="AO23" s="398">
        <f t="shared" si="16"/>
        <v>1</v>
      </c>
      <c r="AP23" s="398">
        <f t="shared" si="16"/>
        <v>1</v>
      </c>
      <c r="AQ23" s="398">
        <f t="shared" si="16"/>
        <v>1</v>
      </c>
      <c r="AR23" s="399">
        <f t="shared" si="16"/>
        <v>1</v>
      </c>
      <c r="AS23" s="530"/>
      <c r="AT23" s="531"/>
      <c r="AU23" s="540"/>
      <c r="AV23" s="522"/>
      <c r="AW23" s="541"/>
      <c r="AX23" s="524"/>
      <c r="AY23" s="524"/>
      <c r="AZ23" s="524"/>
      <c r="BA23" s="524"/>
      <c r="BB23" s="524"/>
      <c r="BC23" s="525"/>
      <c r="BD23" s="170"/>
      <c r="BE23" s="526"/>
      <c r="BF23" s="515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</row>
    <row r="24" spans="2:69" ht="18" x14ac:dyDescent="0.3">
      <c r="B24" s="350"/>
      <c r="C24" s="539"/>
      <c r="D24" s="542" t="s">
        <v>124</v>
      </c>
      <c r="E24" s="405">
        <f>COUNTIF(E$8:E$19,"J")</f>
        <v>1</v>
      </c>
      <c r="F24" s="398">
        <f t="shared" ref="F24:AR24" si="17">COUNTIF(F$8:F$19,"J")</f>
        <v>1</v>
      </c>
      <c r="G24" s="398">
        <f t="shared" si="17"/>
        <v>1</v>
      </c>
      <c r="H24" s="398">
        <f t="shared" si="17"/>
        <v>1</v>
      </c>
      <c r="I24" s="399">
        <f t="shared" si="17"/>
        <v>1</v>
      </c>
      <c r="J24" s="530"/>
      <c r="K24" s="531"/>
      <c r="L24" s="405">
        <f t="shared" si="17"/>
        <v>1</v>
      </c>
      <c r="M24" s="398">
        <f t="shared" si="17"/>
        <v>1</v>
      </c>
      <c r="N24" s="398">
        <f t="shared" si="17"/>
        <v>1</v>
      </c>
      <c r="O24" s="398">
        <f t="shared" si="17"/>
        <v>1</v>
      </c>
      <c r="P24" s="399">
        <f t="shared" si="17"/>
        <v>1</v>
      </c>
      <c r="Q24" s="530"/>
      <c r="R24" s="532"/>
      <c r="S24" s="405">
        <f t="shared" si="17"/>
        <v>1</v>
      </c>
      <c r="T24" s="398">
        <f t="shared" si="17"/>
        <v>1</v>
      </c>
      <c r="U24" s="398">
        <f t="shared" si="17"/>
        <v>1</v>
      </c>
      <c r="V24" s="398">
        <f t="shared" si="17"/>
        <v>1</v>
      </c>
      <c r="W24" s="399">
        <f t="shared" si="17"/>
        <v>1</v>
      </c>
      <c r="X24" s="530"/>
      <c r="Y24" s="531"/>
      <c r="Z24" s="405">
        <f t="shared" si="17"/>
        <v>1</v>
      </c>
      <c r="AA24" s="398">
        <f t="shared" si="17"/>
        <v>1</v>
      </c>
      <c r="AB24" s="398">
        <f t="shared" si="17"/>
        <v>1</v>
      </c>
      <c r="AC24" s="398">
        <f t="shared" si="17"/>
        <v>1</v>
      </c>
      <c r="AD24" s="399">
        <f t="shared" si="17"/>
        <v>1</v>
      </c>
      <c r="AE24" s="530"/>
      <c r="AF24" s="531"/>
      <c r="AG24" s="405">
        <f t="shared" si="17"/>
        <v>1</v>
      </c>
      <c r="AH24" s="398">
        <f t="shared" si="17"/>
        <v>1</v>
      </c>
      <c r="AI24" s="398">
        <f t="shared" si="17"/>
        <v>1</v>
      </c>
      <c r="AJ24" s="398">
        <f t="shared" si="17"/>
        <v>1</v>
      </c>
      <c r="AK24" s="399">
        <f t="shared" si="17"/>
        <v>1</v>
      </c>
      <c r="AL24" s="530"/>
      <c r="AM24" s="531"/>
      <c r="AN24" s="405">
        <f t="shared" si="17"/>
        <v>1</v>
      </c>
      <c r="AO24" s="398">
        <f t="shared" si="17"/>
        <v>1</v>
      </c>
      <c r="AP24" s="398">
        <f t="shared" si="17"/>
        <v>1</v>
      </c>
      <c r="AQ24" s="398">
        <f t="shared" si="17"/>
        <v>1</v>
      </c>
      <c r="AR24" s="399">
        <f t="shared" si="17"/>
        <v>1</v>
      </c>
      <c r="AS24" s="530"/>
      <c r="AT24" s="531"/>
      <c r="AU24" s="540"/>
      <c r="AV24" s="522"/>
      <c r="AW24" s="543" t="s">
        <v>175</v>
      </c>
      <c r="AX24" s="524"/>
      <c r="AY24" s="524"/>
      <c r="AZ24" s="524"/>
      <c r="BA24" s="524"/>
      <c r="BB24" s="524"/>
      <c r="BC24" s="525"/>
      <c r="BD24" s="170"/>
      <c r="BE24" s="526"/>
      <c r="BF24" s="515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</row>
    <row r="25" spans="2:69" ht="18.600000000000001" thickBot="1" x14ac:dyDescent="0.35">
      <c r="B25" s="544"/>
      <c r="C25" s="545"/>
      <c r="D25" s="374" t="s">
        <v>141</v>
      </c>
      <c r="E25" s="546">
        <f>COUNTIF(E$8:E$19,"X")</f>
        <v>1</v>
      </c>
      <c r="F25" s="547">
        <f t="shared" ref="F25:AR25" si="18">COUNTIF(F$8:F$19,"X")</f>
        <v>1</v>
      </c>
      <c r="G25" s="547">
        <f t="shared" si="18"/>
        <v>1</v>
      </c>
      <c r="H25" s="547">
        <f t="shared" si="18"/>
        <v>1</v>
      </c>
      <c r="I25" s="548">
        <f t="shared" si="18"/>
        <v>0</v>
      </c>
      <c r="J25" s="549"/>
      <c r="K25" s="550"/>
      <c r="L25" s="546">
        <f t="shared" si="18"/>
        <v>1</v>
      </c>
      <c r="M25" s="547">
        <f t="shared" si="18"/>
        <v>1</v>
      </c>
      <c r="N25" s="547">
        <f t="shared" si="18"/>
        <v>1</v>
      </c>
      <c r="O25" s="547">
        <f t="shared" si="18"/>
        <v>1</v>
      </c>
      <c r="P25" s="548">
        <f t="shared" si="18"/>
        <v>0</v>
      </c>
      <c r="Q25" s="549"/>
      <c r="R25" s="551"/>
      <c r="S25" s="546">
        <f t="shared" si="18"/>
        <v>0</v>
      </c>
      <c r="T25" s="547">
        <f t="shared" si="18"/>
        <v>0</v>
      </c>
      <c r="U25" s="547">
        <f t="shared" si="18"/>
        <v>0</v>
      </c>
      <c r="V25" s="547">
        <f t="shared" si="18"/>
        <v>0</v>
      </c>
      <c r="W25" s="548">
        <f t="shared" si="18"/>
        <v>0</v>
      </c>
      <c r="X25" s="549"/>
      <c r="Y25" s="550"/>
      <c r="Z25" s="546">
        <f t="shared" si="18"/>
        <v>1</v>
      </c>
      <c r="AA25" s="547">
        <f t="shared" si="18"/>
        <v>1</v>
      </c>
      <c r="AB25" s="547">
        <f t="shared" si="18"/>
        <v>1</v>
      </c>
      <c r="AC25" s="547">
        <f t="shared" si="18"/>
        <v>1</v>
      </c>
      <c r="AD25" s="548">
        <f t="shared" si="18"/>
        <v>0</v>
      </c>
      <c r="AE25" s="549"/>
      <c r="AF25" s="550"/>
      <c r="AG25" s="546">
        <f t="shared" si="18"/>
        <v>1</v>
      </c>
      <c r="AH25" s="547">
        <f t="shared" si="18"/>
        <v>1</v>
      </c>
      <c r="AI25" s="547">
        <f t="shared" si="18"/>
        <v>1</v>
      </c>
      <c r="AJ25" s="547">
        <f t="shared" si="18"/>
        <v>1</v>
      </c>
      <c r="AK25" s="548">
        <f t="shared" si="18"/>
        <v>0</v>
      </c>
      <c r="AL25" s="549"/>
      <c r="AM25" s="550"/>
      <c r="AN25" s="546">
        <f t="shared" si="18"/>
        <v>1</v>
      </c>
      <c r="AO25" s="547">
        <f t="shared" si="18"/>
        <v>1</v>
      </c>
      <c r="AP25" s="547">
        <f t="shared" si="18"/>
        <v>1</v>
      </c>
      <c r="AQ25" s="547">
        <f t="shared" si="18"/>
        <v>1</v>
      </c>
      <c r="AR25" s="548">
        <f t="shared" si="18"/>
        <v>0</v>
      </c>
      <c r="AS25" s="549"/>
      <c r="AT25" s="550"/>
      <c r="AU25" s="552"/>
      <c r="AV25" s="525"/>
      <c r="AW25" s="553"/>
      <c r="AX25" s="524"/>
      <c r="AY25" s="524"/>
      <c r="AZ25" s="524"/>
      <c r="BA25" s="524"/>
      <c r="BB25" s="524"/>
      <c r="BC25" s="525"/>
      <c r="BD25" s="554"/>
      <c r="BE25" s="555"/>
      <c r="BF25" s="555"/>
      <c r="BG25" s="556"/>
      <c r="BH25" s="556"/>
      <c r="BI25" s="556"/>
      <c r="BJ25" s="556"/>
      <c r="BK25" s="556"/>
      <c r="BL25" s="556"/>
      <c r="BM25" s="556"/>
      <c r="BN25" s="556"/>
      <c r="BO25" s="556"/>
      <c r="BP25" s="556"/>
      <c r="BQ25" s="556"/>
    </row>
    <row r="26" spans="2:69" ht="18" x14ac:dyDescent="0.3">
      <c r="B26" s="557"/>
      <c r="C26" s="558"/>
      <c r="D26" s="364" t="s">
        <v>156</v>
      </c>
      <c r="E26" s="237"/>
      <c r="F26" s="517"/>
      <c r="G26" s="517"/>
      <c r="H26" s="517"/>
      <c r="I26" s="239"/>
      <c r="J26" s="518">
        <f t="shared" ref="J26:AT26" si="19">COUNTIF(J$8:J$19,"Aw")</f>
        <v>1</v>
      </c>
      <c r="K26" s="519">
        <f t="shared" si="19"/>
        <v>1</v>
      </c>
      <c r="L26" s="237"/>
      <c r="M26" s="517"/>
      <c r="N26" s="517"/>
      <c r="O26" s="517"/>
      <c r="P26" s="559"/>
      <c r="Q26" s="518">
        <f t="shared" si="19"/>
        <v>1</v>
      </c>
      <c r="R26" s="519">
        <f t="shared" si="19"/>
        <v>1</v>
      </c>
      <c r="S26" s="237"/>
      <c r="T26" s="517"/>
      <c r="U26" s="517"/>
      <c r="V26" s="517"/>
      <c r="W26" s="239"/>
      <c r="X26" s="518">
        <f t="shared" si="19"/>
        <v>1</v>
      </c>
      <c r="Y26" s="519">
        <f t="shared" si="19"/>
        <v>1</v>
      </c>
      <c r="Z26" s="237"/>
      <c r="AA26" s="517"/>
      <c r="AB26" s="517"/>
      <c r="AC26" s="517"/>
      <c r="AD26" s="239"/>
      <c r="AE26" s="518">
        <f t="shared" si="19"/>
        <v>1</v>
      </c>
      <c r="AF26" s="519">
        <f t="shared" si="19"/>
        <v>1</v>
      </c>
      <c r="AG26" s="237"/>
      <c r="AH26" s="517"/>
      <c r="AI26" s="517"/>
      <c r="AJ26" s="517"/>
      <c r="AK26" s="239"/>
      <c r="AL26" s="518">
        <f t="shared" si="19"/>
        <v>1</v>
      </c>
      <c r="AM26" s="519">
        <f t="shared" si="19"/>
        <v>1</v>
      </c>
      <c r="AN26" s="237"/>
      <c r="AO26" s="517"/>
      <c r="AP26" s="517"/>
      <c r="AQ26" s="517"/>
      <c r="AR26" s="239"/>
      <c r="AS26" s="518">
        <f t="shared" si="19"/>
        <v>1</v>
      </c>
      <c r="AT26" s="519">
        <f t="shared" si="19"/>
        <v>1</v>
      </c>
      <c r="AU26" s="560"/>
      <c r="AV26" s="561"/>
      <c r="AW26" s="562" t="s">
        <v>176</v>
      </c>
      <c r="AX26" s="524"/>
      <c r="AY26" s="524"/>
      <c r="AZ26" s="524"/>
      <c r="BA26" s="524"/>
      <c r="BB26" s="524"/>
      <c r="BC26" s="561"/>
      <c r="BD26" s="563"/>
      <c r="BE26" s="564"/>
      <c r="BF26" s="564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</row>
    <row r="27" spans="2:69" ht="18" x14ac:dyDescent="0.3">
      <c r="B27" s="566"/>
      <c r="C27" s="567"/>
      <c r="D27" s="529" t="s">
        <v>157</v>
      </c>
      <c r="E27" s="405"/>
      <c r="F27" s="398"/>
      <c r="G27" s="398"/>
      <c r="H27" s="398"/>
      <c r="I27" s="399"/>
      <c r="J27" s="530">
        <f t="shared" ref="J27:AT27" si="20">COUNTIF(J$8:J$19,"Cw")</f>
        <v>1</v>
      </c>
      <c r="K27" s="531">
        <f t="shared" si="20"/>
        <v>1</v>
      </c>
      <c r="L27" s="405"/>
      <c r="M27" s="398"/>
      <c r="N27" s="398"/>
      <c r="O27" s="398"/>
      <c r="P27" s="568"/>
      <c r="Q27" s="530">
        <f t="shared" si="20"/>
        <v>1</v>
      </c>
      <c r="R27" s="531">
        <f t="shared" si="20"/>
        <v>1</v>
      </c>
      <c r="S27" s="405"/>
      <c r="T27" s="398"/>
      <c r="U27" s="398"/>
      <c r="V27" s="398"/>
      <c r="W27" s="399"/>
      <c r="X27" s="530">
        <f t="shared" si="20"/>
        <v>1</v>
      </c>
      <c r="Y27" s="531">
        <f t="shared" si="20"/>
        <v>1</v>
      </c>
      <c r="Z27" s="405"/>
      <c r="AA27" s="398"/>
      <c r="AB27" s="398"/>
      <c r="AC27" s="398"/>
      <c r="AD27" s="399"/>
      <c r="AE27" s="530">
        <f t="shared" si="20"/>
        <v>1</v>
      </c>
      <c r="AF27" s="531">
        <f t="shared" si="20"/>
        <v>1</v>
      </c>
      <c r="AG27" s="405"/>
      <c r="AH27" s="398"/>
      <c r="AI27" s="398"/>
      <c r="AJ27" s="398"/>
      <c r="AK27" s="399"/>
      <c r="AL27" s="530">
        <f t="shared" si="20"/>
        <v>1</v>
      </c>
      <c r="AM27" s="531">
        <f t="shared" si="20"/>
        <v>1</v>
      </c>
      <c r="AN27" s="405"/>
      <c r="AO27" s="398"/>
      <c r="AP27" s="398"/>
      <c r="AQ27" s="398"/>
      <c r="AR27" s="399"/>
      <c r="AS27" s="530">
        <f t="shared" si="20"/>
        <v>1</v>
      </c>
      <c r="AT27" s="531">
        <f t="shared" si="20"/>
        <v>1</v>
      </c>
      <c r="AU27" s="569"/>
      <c r="AV27" s="570"/>
      <c r="AW27" s="571"/>
      <c r="AX27" s="524"/>
      <c r="AY27" s="524"/>
      <c r="AZ27" s="524"/>
      <c r="BA27" s="524"/>
      <c r="BB27" s="524"/>
      <c r="BC27" s="570"/>
      <c r="BD27" s="572"/>
      <c r="BE27" s="573"/>
      <c r="BF27" s="573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</row>
    <row r="28" spans="2:69" ht="18.600000000000001" thickBot="1" x14ac:dyDescent="0.35">
      <c r="B28" s="575"/>
      <c r="C28" s="576"/>
      <c r="D28" s="351" t="s">
        <v>158</v>
      </c>
      <c r="E28" s="546"/>
      <c r="F28" s="547"/>
      <c r="G28" s="547"/>
      <c r="H28" s="547"/>
      <c r="I28" s="548"/>
      <c r="J28" s="549">
        <f t="shared" ref="J28:AT28" si="21">COUNTIF(J$8:J$19,"Bw")</f>
        <v>1</v>
      </c>
      <c r="K28" s="550">
        <f t="shared" si="21"/>
        <v>1</v>
      </c>
      <c r="L28" s="546"/>
      <c r="M28" s="547"/>
      <c r="N28" s="547"/>
      <c r="O28" s="547"/>
      <c r="P28" s="577"/>
      <c r="Q28" s="549">
        <f t="shared" si="21"/>
        <v>1</v>
      </c>
      <c r="R28" s="550">
        <f t="shared" si="21"/>
        <v>1</v>
      </c>
      <c r="S28" s="546"/>
      <c r="T28" s="547"/>
      <c r="U28" s="547"/>
      <c r="V28" s="547"/>
      <c r="W28" s="548"/>
      <c r="X28" s="549">
        <f t="shared" si="21"/>
        <v>1</v>
      </c>
      <c r="Y28" s="550">
        <f t="shared" si="21"/>
        <v>1</v>
      </c>
      <c r="Z28" s="546"/>
      <c r="AA28" s="547"/>
      <c r="AB28" s="547"/>
      <c r="AC28" s="547"/>
      <c r="AD28" s="548"/>
      <c r="AE28" s="549">
        <f t="shared" si="21"/>
        <v>1</v>
      </c>
      <c r="AF28" s="550">
        <f t="shared" si="21"/>
        <v>1</v>
      </c>
      <c r="AG28" s="546"/>
      <c r="AH28" s="547"/>
      <c r="AI28" s="547"/>
      <c r="AJ28" s="547"/>
      <c r="AK28" s="548"/>
      <c r="AL28" s="549">
        <f t="shared" si="21"/>
        <v>1</v>
      </c>
      <c r="AM28" s="550">
        <f t="shared" si="21"/>
        <v>1</v>
      </c>
      <c r="AN28" s="546"/>
      <c r="AO28" s="547"/>
      <c r="AP28" s="547"/>
      <c r="AQ28" s="547"/>
      <c r="AR28" s="548"/>
      <c r="AS28" s="549">
        <f t="shared" si="21"/>
        <v>1</v>
      </c>
      <c r="AT28" s="550">
        <f t="shared" si="21"/>
        <v>1</v>
      </c>
      <c r="AU28" s="578"/>
      <c r="AV28" s="579"/>
      <c r="AW28" s="579"/>
      <c r="AX28" s="579"/>
      <c r="AY28" s="579"/>
      <c r="AZ28" s="579"/>
      <c r="BA28" s="579"/>
      <c r="BB28" s="579"/>
      <c r="BC28" s="579"/>
      <c r="BD28" s="580"/>
      <c r="BE28" s="581"/>
      <c r="BF28" s="581"/>
      <c r="BG28" s="582"/>
      <c r="BH28" s="582"/>
      <c r="BI28" s="582"/>
      <c r="BJ28" s="582"/>
      <c r="BK28" s="582"/>
      <c r="BL28" s="582"/>
      <c r="BM28" s="582"/>
      <c r="BN28" s="582"/>
      <c r="BO28" s="582"/>
      <c r="BP28" s="582"/>
      <c r="BQ28" s="582"/>
    </row>
  </sheetData>
  <mergeCells count="1">
    <mergeCell ref="BI20:BO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L63"/>
  <sheetViews>
    <sheetView workbookViewId="0">
      <selection activeCell="B7" sqref="B7"/>
    </sheetView>
  </sheetViews>
  <sheetFormatPr baseColWidth="10" defaultRowHeight="14.4" x14ac:dyDescent="0.3"/>
  <cols>
    <col min="4" max="10" width="20.77734375" customWidth="1"/>
    <col min="11" max="11" width="5.21875" customWidth="1"/>
    <col min="12" max="12" width="20.77734375" customWidth="1"/>
  </cols>
  <sheetData>
    <row r="3" spans="3:12" ht="31.2" x14ac:dyDescent="0.3">
      <c r="C3" s="648" t="s">
        <v>304</v>
      </c>
    </row>
    <row r="6" spans="3:12" ht="15" thickBot="1" x14ac:dyDescent="0.35"/>
    <row r="7" spans="3:12" ht="47.4" thickBot="1" x14ac:dyDescent="0.35">
      <c r="D7" s="585" t="s">
        <v>179</v>
      </c>
      <c r="E7" s="586" t="s">
        <v>180</v>
      </c>
      <c r="F7" s="587" t="s">
        <v>181</v>
      </c>
      <c r="G7" s="587" t="s">
        <v>182</v>
      </c>
      <c r="H7" s="587" t="s">
        <v>183</v>
      </c>
      <c r="I7" s="587" t="s">
        <v>184</v>
      </c>
      <c r="J7" s="588" t="s">
        <v>185</v>
      </c>
    </row>
    <row r="8" spans="3:12" ht="58.2" hidden="1" thickBot="1" x14ac:dyDescent="0.35">
      <c r="C8" t="s">
        <v>186</v>
      </c>
      <c r="D8" s="589"/>
      <c r="E8" s="590" t="s">
        <v>187</v>
      </c>
      <c r="I8" s="193" t="s">
        <v>188</v>
      </c>
    </row>
    <row r="9" spans="3:12" x14ac:dyDescent="0.3">
      <c r="C9" t="s">
        <v>104</v>
      </c>
      <c r="D9" s="591" t="s">
        <v>189</v>
      </c>
      <c r="E9" s="591" t="s">
        <v>189</v>
      </c>
    </row>
    <row r="10" spans="3:12" x14ac:dyDescent="0.3">
      <c r="C10" t="s">
        <v>105</v>
      </c>
      <c r="D10" s="592"/>
      <c r="E10" s="592"/>
    </row>
    <row r="11" spans="3:12" x14ac:dyDescent="0.3">
      <c r="C11" t="s">
        <v>106</v>
      </c>
      <c r="D11" s="593" t="s">
        <v>190</v>
      </c>
      <c r="E11" s="593" t="s">
        <v>190</v>
      </c>
    </row>
    <row r="12" spans="3:12" ht="15" thickBot="1" x14ac:dyDescent="0.35">
      <c r="C12" t="s">
        <v>107</v>
      </c>
      <c r="D12" s="594"/>
      <c r="E12" s="594"/>
      <c r="F12" s="595"/>
      <c r="G12" s="595"/>
      <c r="H12" s="595"/>
      <c r="I12" s="596"/>
      <c r="J12" s="596"/>
      <c r="K12" s="596"/>
      <c r="L12" s="596"/>
    </row>
    <row r="13" spans="3:12" ht="15" thickTop="1" x14ac:dyDescent="0.3">
      <c r="C13" t="s">
        <v>108</v>
      </c>
      <c r="D13" s="594"/>
      <c r="E13" s="597"/>
      <c r="F13" s="591" t="s">
        <v>189</v>
      </c>
      <c r="G13" s="591" t="s">
        <v>189</v>
      </c>
      <c r="H13" s="591" t="s">
        <v>189</v>
      </c>
      <c r="I13" s="596"/>
      <c r="J13" s="596"/>
      <c r="K13" s="596"/>
      <c r="L13" s="596"/>
    </row>
    <row r="14" spans="3:12" x14ac:dyDescent="0.3">
      <c r="C14" t="s">
        <v>191</v>
      </c>
      <c r="D14" s="594"/>
      <c r="E14" s="597"/>
      <c r="F14" s="593" t="s">
        <v>190</v>
      </c>
      <c r="G14" s="593" t="s">
        <v>190</v>
      </c>
      <c r="H14" s="593" t="s">
        <v>190</v>
      </c>
      <c r="I14" s="596"/>
      <c r="J14" s="596"/>
      <c r="K14" s="596"/>
      <c r="L14" s="596"/>
    </row>
    <row r="15" spans="3:12" x14ac:dyDescent="0.3">
      <c r="C15" t="s">
        <v>109</v>
      </c>
      <c r="D15" s="598" t="s">
        <v>192</v>
      </c>
      <c r="E15" s="598" t="s">
        <v>192</v>
      </c>
      <c r="F15" s="599"/>
      <c r="G15" s="600"/>
      <c r="H15" s="600"/>
      <c r="I15" s="596"/>
      <c r="J15" s="596"/>
      <c r="K15" s="596"/>
      <c r="L15" s="596"/>
    </row>
    <row r="16" spans="3:12" x14ac:dyDescent="0.3">
      <c r="C16" t="s">
        <v>193</v>
      </c>
      <c r="D16" s="600"/>
      <c r="E16" s="599"/>
      <c r="F16" s="599"/>
      <c r="G16" s="600"/>
      <c r="H16" s="600"/>
      <c r="I16" s="591" t="s">
        <v>189</v>
      </c>
      <c r="J16" s="596"/>
      <c r="K16" s="596"/>
      <c r="L16" s="596"/>
    </row>
    <row r="17" spans="3:12" x14ac:dyDescent="0.3">
      <c r="C17" t="s">
        <v>194</v>
      </c>
      <c r="D17" s="601"/>
      <c r="E17" s="602"/>
      <c r="F17" s="599"/>
      <c r="G17" s="600"/>
      <c r="H17" s="600"/>
      <c r="I17" s="600"/>
      <c r="J17" s="596"/>
      <c r="K17" s="596"/>
      <c r="L17" s="596"/>
    </row>
    <row r="18" spans="3:12" x14ac:dyDescent="0.3">
      <c r="C18" t="s">
        <v>195</v>
      </c>
      <c r="D18" s="601"/>
      <c r="E18" s="602"/>
      <c r="F18" s="599"/>
      <c r="G18" s="600"/>
      <c r="H18" s="600"/>
      <c r="I18" s="600"/>
      <c r="J18" s="596"/>
      <c r="K18" s="596"/>
      <c r="L18" s="596"/>
    </row>
    <row r="19" spans="3:12" x14ac:dyDescent="0.3">
      <c r="C19" t="s">
        <v>110</v>
      </c>
      <c r="D19" s="601"/>
      <c r="E19" s="602"/>
      <c r="F19" s="599"/>
      <c r="G19" s="600"/>
      <c r="H19" s="600"/>
      <c r="I19" s="600"/>
      <c r="J19" s="596"/>
      <c r="K19" s="596"/>
      <c r="L19" s="596"/>
    </row>
    <row r="20" spans="3:12" x14ac:dyDescent="0.3">
      <c r="C20" t="s">
        <v>196</v>
      </c>
      <c r="D20" s="601"/>
      <c r="E20" s="602"/>
      <c r="F20" s="599"/>
      <c r="G20" s="600"/>
      <c r="H20" s="600"/>
      <c r="I20" s="600"/>
      <c r="J20" s="596"/>
      <c r="K20" s="596"/>
      <c r="L20" s="596"/>
    </row>
    <row r="21" spans="3:12" x14ac:dyDescent="0.3">
      <c r="C21" t="s">
        <v>197</v>
      </c>
      <c r="D21" s="603" t="s">
        <v>198</v>
      </c>
      <c r="E21" s="603" t="s">
        <v>198</v>
      </c>
      <c r="F21" s="603" t="s">
        <v>198</v>
      </c>
      <c r="G21" s="603" t="s">
        <v>198</v>
      </c>
      <c r="H21" s="603" t="s">
        <v>198</v>
      </c>
      <c r="I21" s="603" t="s">
        <v>198</v>
      </c>
      <c r="J21" s="596"/>
      <c r="K21" s="596"/>
      <c r="L21" s="596"/>
    </row>
    <row r="22" spans="3:12" x14ac:dyDescent="0.3">
      <c r="C22" t="s">
        <v>199</v>
      </c>
      <c r="D22" s="601"/>
      <c r="E22" s="602"/>
      <c r="F22" s="599"/>
      <c r="G22" s="600"/>
      <c r="H22" s="600"/>
      <c r="I22" s="600"/>
      <c r="J22" s="596"/>
      <c r="K22" s="596"/>
      <c r="L22" s="596"/>
    </row>
    <row r="23" spans="3:12" x14ac:dyDescent="0.3">
      <c r="C23" t="s">
        <v>200</v>
      </c>
      <c r="D23" s="601"/>
      <c r="E23" s="602"/>
      <c r="F23" s="599"/>
      <c r="G23" s="600"/>
      <c r="H23" s="600"/>
      <c r="I23" s="600"/>
      <c r="J23" s="596"/>
      <c r="K23" s="596"/>
      <c r="L23" s="596"/>
    </row>
    <row r="24" spans="3:12" x14ac:dyDescent="0.3">
      <c r="C24" t="s">
        <v>201</v>
      </c>
      <c r="D24" s="601"/>
      <c r="E24" s="602"/>
      <c r="F24" s="599"/>
      <c r="G24" s="600"/>
      <c r="H24" s="600"/>
      <c r="I24" s="600"/>
      <c r="J24" s="596"/>
      <c r="K24" s="596"/>
      <c r="L24" s="596"/>
    </row>
    <row r="25" spans="3:12" x14ac:dyDescent="0.3">
      <c r="C25" t="s">
        <v>202</v>
      </c>
      <c r="D25" s="601"/>
      <c r="E25" s="602"/>
      <c r="F25" s="599"/>
      <c r="G25" s="600"/>
      <c r="H25" s="600"/>
      <c r="I25" s="600"/>
      <c r="J25" s="596"/>
      <c r="K25" s="596"/>
      <c r="L25" s="596"/>
    </row>
    <row r="26" spans="3:12" x14ac:dyDescent="0.3">
      <c r="C26" t="s">
        <v>203</v>
      </c>
      <c r="D26" s="601"/>
      <c r="E26" s="602"/>
      <c r="F26" s="599"/>
      <c r="G26" s="600"/>
      <c r="H26" s="600"/>
      <c r="I26" s="600"/>
      <c r="J26" s="596"/>
      <c r="K26" s="596"/>
      <c r="L26" s="596"/>
    </row>
    <row r="27" spans="3:12" x14ac:dyDescent="0.3">
      <c r="C27" t="s">
        <v>111</v>
      </c>
      <c r="D27" s="601"/>
      <c r="E27" s="602"/>
      <c r="F27" s="599"/>
      <c r="G27" s="600"/>
      <c r="H27" s="600"/>
      <c r="I27" s="600"/>
      <c r="J27" s="596"/>
      <c r="K27" s="596"/>
      <c r="L27" s="596"/>
    </row>
    <row r="28" spans="3:12" x14ac:dyDescent="0.3">
      <c r="C28" t="s">
        <v>204</v>
      </c>
      <c r="D28" s="604"/>
      <c r="E28" s="605"/>
      <c r="F28" s="597"/>
      <c r="G28" s="594"/>
      <c r="H28" s="594"/>
      <c r="I28" s="594"/>
      <c r="J28" s="596"/>
      <c r="K28" s="596"/>
      <c r="L28" s="596"/>
    </row>
    <row r="29" spans="3:12" x14ac:dyDescent="0.3">
      <c r="C29" t="s">
        <v>205</v>
      </c>
      <c r="D29" s="593" t="s">
        <v>206</v>
      </c>
      <c r="E29" s="593" t="s">
        <v>206</v>
      </c>
      <c r="F29" s="593" t="s">
        <v>206</v>
      </c>
      <c r="G29" s="593" t="s">
        <v>206</v>
      </c>
      <c r="H29" s="593" t="s">
        <v>206</v>
      </c>
      <c r="I29" s="593" t="s">
        <v>206</v>
      </c>
      <c r="J29" s="596"/>
      <c r="K29" s="596"/>
      <c r="L29" s="596"/>
    </row>
    <row r="30" spans="3:12" x14ac:dyDescent="0.3">
      <c r="C30" t="s">
        <v>207</v>
      </c>
      <c r="D30" s="719" t="s">
        <v>208</v>
      </c>
      <c r="E30" s="606" t="s">
        <v>209</v>
      </c>
      <c r="F30" s="607" t="s">
        <v>210</v>
      </c>
      <c r="G30" s="607" t="s">
        <v>211</v>
      </c>
      <c r="H30" s="607" t="s">
        <v>212</v>
      </c>
      <c r="I30" s="608" t="s">
        <v>210</v>
      </c>
      <c r="J30" s="596"/>
      <c r="K30" s="596"/>
      <c r="L30" s="596"/>
    </row>
    <row r="31" spans="3:12" ht="15" thickBot="1" x14ac:dyDescent="0.35">
      <c r="C31" t="s">
        <v>213</v>
      </c>
      <c r="D31" s="720"/>
      <c r="E31" s="606"/>
      <c r="F31" s="609"/>
      <c r="G31" s="610"/>
      <c r="H31" s="610"/>
      <c r="I31" s="610"/>
      <c r="J31" s="596"/>
      <c r="K31" s="596"/>
      <c r="L31" s="596"/>
    </row>
    <row r="32" spans="3:12" ht="15" thickTop="1" x14ac:dyDescent="0.3">
      <c r="C32" t="s">
        <v>214</v>
      </c>
      <c r="D32" s="611"/>
      <c r="E32" s="611"/>
      <c r="F32" s="596"/>
      <c r="G32" s="596"/>
      <c r="H32" s="596"/>
      <c r="I32" s="596"/>
      <c r="J32" s="596"/>
      <c r="K32" s="596"/>
      <c r="L32" s="596"/>
    </row>
    <row r="33" spans="3:12" ht="15" thickBot="1" x14ac:dyDescent="0.35">
      <c r="C33" t="s">
        <v>215</v>
      </c>
      <c r="D33" s="600" t="s">
        <v>216</v>
      </c>
      <c r="E33" s="600" t="s">
        <v>216</v>
      </c>
      <c r="F33" s="596"/>
      <c r="G33" s="596"/>
      <c r="H33" s="596"/>
      <c r="I33" s="596"/>
      <c r="J33" s="596"/>
      <c r="K33" s="596"/>
      <c r="L33" s="596"/>
    </row>
    <row r="34" spans="3:12" ht="15" thickTop="1" x14ac:dyDescent="0.3">
      <c r="C34" t="s">
        <v>217</v>
      </c>
      <c r="D34" s="612" t="s">
        <v>218</v>
      </c>
      <c r="E34" s="612" t="s">
        <v>218</v>
      </c>
      <c r="F34" s="596"/>
      <c r="G34" s="596"/>
      <c r="H34" s="596"/>
      <c r="I34" s="613"/>
      <c r="J34" s="614" t="s">
        <v>219</v>
      </c>
      <c r="K34" s="596"/>
      <c r="L34" s="721" t="s">
        <v>220</v>
      </c>
    </row>
    <row r="35" spans="3:12" ht="15" thickBot="1" x14ac:dyDescent="0.35">
      <c r="C35" t="s">
        <v>221</v>
      </c>
      <c r="D35" s="615" t="s">
        <v>222</v>
      </c>
      <c r="E35" s="615" t="s">
        <v>222</v>
      </c>
      <c r="F35" s="616"/>
      <c r="G35" s="616"/>
      <c r="H35" s="616"/>
      <c r="I35" s="613"/>
      <c r="J35" s="723" t="s">
        <v>223</v>
      </c>
      <c r="K35" s="596"/>
      <c r="L35" s="722"/>
    </row>
    <row r="36" spans="3:12" ht="15" thickTop="1" x14ac:dyDescent="0.3">
      <c r="C36" t="s">
        <v>224</v>
      </c>
      <c r="D36" s="617"/>
      <c r="E36" s="617"/>
      <c r="F36" s="616"/>
      <c r="G36" s="724" t="s">
        <v>223</v>
      </c>
      <c r="H36" s="725" t="s">
        <v>225</v>
      </c>
      <c r="I36" s="724" t="s">
        <v>223</v>
      </c>
      <c r="J36" s="717"/>
      <c r="K36" s="596"/>
      <c r="L36" s="722"/>
    </row>
    <row r="37" spans="3:12" x14ac:dyDescent="0.3">
      <c r="C37" t="s">
        <v>226</v>
      </c>
      <c r="D37" s="617"/>
      <c r="E37" s="617"/>
      <c r="F37" s="616"/>
      <c r="G37" s="717"/>
      <c r="H37" s="720"/>
      <c r="I37" s="717"/>
      <c r="J37" s="717"/>
      <c r="K37" s="596"/>
      <c r="L37" s="722"/>
    </row>
    <row r="38" spans="3:12" ht="15" thickBot="1" x14ac:dyDescent="0.35">
      <c r="C38" t="s">
        <v>227</v>
      </c>
      <c r="D38" s="617"/>
      <c r="E38" s="617"/>
      <c r="F38" s="618"/>
      <c r="G38" s="717"/>
      <c r="H38" s="726"/>
      <c r="I38" s="717"/>
      <c r="J38" s="717"/>
      <c r="K38" s="596"/>
      <c r="L38" s="722"/>
    </row>
    <row r="39" spans="3:12" ht="15" thickTop="1" x14ac:dyDescent="0.3">
      <c r="C39" t="s">
        <v>228</v>
      </c>
      <c r="D39" s="617"/>
      <c r="E39" s="617"/>
      <c r="F39" s="619" t="s">
        <v>229</v>
      </c>
      <c r="G39" s="717"/>
      <c r="H39" s="724" t="s">
        <v>230</v>
      </c>
      <c r="I39" s="717"/>
      <c r="J39" s="717"/>
      <c r="K39" s="596"/>
      <c r="L39" s="722"/>
    </row>
    <row r="40" spans="3:12" x14ac:dyDescent="0.3">
      <c r="C40" t="s">
        <v>231</v>
      </c>
      <c r="D40" s="617"/>
      <c r="E40" s="617"/>
      <c r="F40" s="620"/>
      <c r="G40" s="717"/>
      <c r="H40" s="727"/>
      <c r="I40" s="717"/>
      <c r="J40" s="717"/>
      <c r="K40" s="596"/>
      <c r="L40" s="621" t="s">
        <v>232</v>
      </c>
    </row>
    <row r="41" spans="3:12" x14ac:dyDescent="0.3">
      <c r="C41" t="s">
        <v>233</v>
      </c>
      <c r="D41" s="617"/>
      <c r="E41" s="617"/>
      <c r="F41" s="622" t="s">
        <v>234</v>
      </c>
      <c r="G41" s="622" t="s">
        <v>235</v>
      </c>
      <c r="H41" s="622" t="s">
        <v>236</v>
      </c>
      <c r="I41" s="622" t="s">
        <v>234</v>
      </c>
      <c r="J41" s="623" t="s">
        <v>237</v>
      </c>
      <c r="K41" s="596"/>
      <c r="L41" s="621"/>
    </row>
    <row r="42" spans="3:12" x14ac:dyDescent="0.3">
      <c r="C42" t="s">
        <v>238</v>
      </c>
      <c r="D42" s="617"/>
      <c r="E42" s="617"/>
      <c r="F42" s="597"/>
      <c r="G42" s="594"/>
      <c r="H42" s="594"/>
      <c r="I42" s="624"/>
      <c r="J42" s="594"/>
      <c r="K42" s="596"/>
      <c r="L42" s="621"/>
    </row>
    <row r="43" spans="3:12" x14ac:dyDescent="0.3">
      <c r="C43" t="s">
        <v>239</v>
      </c>
      <c r="D43" s="617"/>
      <c r="E43" s="617"/>
      <c r="F43" s="716" t="s">
        <v>240</v>
      </c>
      <c r="G43" s="716" t="s">
        <v>240</v>
      </c>
      <c r="H43" s="716" t="s">
        <v>240</v>
      </c>
      <c r="I43" s="716" t="s">
        <v>240</v>
      </c>
      <c r="J43" s="716" t="s">
        <v>240</v>
      </c>
      <c r="K43" s="596"/>
      <c r="L43" s="621"/>
    </row>
    <row r="44" spans="3:12" x14ac:dyDescent="0.3">
      <c r="C44" t="s">
        <v>241</v>
      </c>
      <c r="D44" s="617"/>
      <c r="E44" s="617"/>
      <c r="F44" s="717"/>
      <c r="G44" s="717"/>
      <c r="H44" s="717"/>
      <c r="I44" s="717"/>
      <c r="J44" s="717"/>
      <c r="K44" s="596"/>
      <c r="L44" s="621"/>
    </row>
    <row r="45" spans="3:12" x14ac:dyDescent="0.3">
      <c r="C45" t="s">
        <v>242</v>
      </c>
      <c r="D45" s="617"/>
      <c r="E45" s="617"/>
      <c r="F45" s="717"/>
      <c r="G45" s="717"/>
      <c r="H45" s="717"/>
      <c r="I45" s="717"/>
      <c r="J45" s="717"/>
      <c r="K45" s="596"/>
      <c r="L45" s="621"/>
    </row>
    <row r="46" spans="3:12" x14ac:dyDescent="0.3">
      <c r="C46" t="s">
        <v>243</v>
      </c>
      <c r="D46" s="617"/>
      <c r="E46" s="617"/>
      <c r="F46" s="717"/>
      <c r="G46" s="717"/>
      <c r="H46" s="717"/>
      <c r="I46" s="717"/>
      <c r="J46" s="717"/>
      <c r="K46" s="596"/>
      <c r="L46" s="621"/>
    </row>
    <row r="47" spans="3:12" x14ac:dyDescent="0.3">
      <c r="C47" t="s">
        <v>244</v>
      </c>
      <c r="D47" s="596"/>
      <c r="E47" s="596"/>
      <c r="F47" s="717"/>
      <c r="G47" s="717"/>
      <c r="H47" s="717"/>
      <c r="I47" s="717"/>
      <c r="J47" s="717"/>
      <c r="K47" s="596"/>
      <c r="L47" s="596"/>
    </row>
    <row r="48" spans="3:12" x14ac:dyDescent="0.3">
      <c r="C48" t="s">
        <v>245</v>
      </c>
      <c r="D48" s="596"/>
      <c r="E48" s="596"/>
      <c r="F48" s="715"/>
      <c r="G48" s="715"/>
      <c r="H48" s="715"/>
      <c r="I48" s="715"/>
      <c r="J48" s="715"/>
      <c r="K48" s="596"/>
      <c r="L48" s="596"/>
    </row>
    <row r="49" spans="3:12" x14ac:dyDescent="0.3">
      <c r="C49" t="s">
        <v>246</v>
      </c>
      <c r="D49" s="596"/>
      <c r="E49" s="596"/>
      <c r="F49" s="599"/>
      <c r="G49" s="600"/>
      <c r="H49" s="600"/>
      <c r="I49" s="625"/>
      <c r="J49" s="600"/>
      <c r="K49" s="596"/>
      <c r="L49" s="596"/>
    </row>
    <row r="50" spans="3:12" x14ac:dyDescent="0.3">
      <c r="C50" t="s">
        <v>247</v>
      </c>
      <c r="D50" s="596"/>
      <c r="E50" s="596"/>
      <c r="F50" s="597"/>
      <c r="G50" s="594"/>
      <c r="H50" s="594"/>
      <c r="I50" s="626"/>
      <c r="J50" s="594"/>
      <c r="K50" s="596"/>
      <c r="L50" s="596"/>
    </row>
    <row r="51" spans="3:12" x14ac:dyDescent="0.3">
      <c r="C51" t="s">
        <v>248</v>
      </c>
      <c r="F51" s="622" t="s">
        <v>249</v>
      </c>
      <c r="G51" s="718" t="s">
        <v>250</v>
      </c>
      <c r="H51" s="718" t="s">
        <v>251</v>
      </c>
      <c r="I51" s="622" t="s">
        <v>249</v>
      </c>
      <c r="J51" s="623" t="s">
        <v>249</v>
      </c>
    </row>
    <row r="52" spans="3:12" x14ac:dyDescent="0.3">
      <c r="C52" t="s">
        <v>252</v>
      </c>
      <c r="F52" s="627"/>
      <c r="G52" s="715"/>
      <c r="H52" s="715"/>
      <c r="I52" s="628"/>
      <c r="J52" s="592"/>
    </row>
    <row r="53" spans="3:12" x14ac:dyDescent="0.3">
      <c r="C53" t="s">
        <v>253</v>
      </c>
      <c r="F53" s="627"/>
      <c r="G53" s="592"/>
      <c r="H53" s="592"/>
      <c r="I53" s="628"/>
      <c r="J53" s="592"/>
    </row>
    <row r="54" spans="3:12" ht="15" thickBot="1" x14ac:dyDescent="0.35">
      <c r="C54" t="s">
        <v>254</v>
      </c>
      <c r="F54" s="627"/>
      <c r="G54" s="615" t="s">
        <v>222</v>
      </c>
      <c r="H54" s="592"/>
      <c r="I54" s="628"/>
      <c r="J54" s="592"/>
    </row>
    <row r="55" spans="3:12" ht="15" thickTop="1" x14ac:dyDescent="0.3">
      <c r="C55" t="s">
        <v>255</v>
      </c>
      <c r="F55" s="592"/>
      <c r="H55" s="592"/>
      <c r="I55" s="628"/>
      <c r="J55" s="592"/>
    </row>
    <row r="56" spans="3:12" x14ac:dyDescent="0.3">
      <c r="C56" t="s">
        <v>256</v>
      </c>
      <c r="F56" s="629" t="s">
        <v>257</v>
      </c>
      <c r="H56" s="629" t="s">
        <v>258</v>
      </c>
      <c r="I56" s="629" t="s">
        <v>257</v>
      </c>
      <c r="J56" s="629" t="s">
        <v>259</v>
      </c>
    </row>
    <row r="57" spans="3:12" x14ac:dyDescent="0.3">
      <c r="C57" t="s">
        <v>260</v>
      </c>
      <c r="F57" s="630"/>
      <c r="H57" s="630"/>
      <c r="I57" s="631"/>
      <c r="J57" s="714" t="s">
        <v>261</v>
      </c>
    </row>
    <row r="58" spans="3:12" ht="15" thickBot="1" x14ac:dyDescent="0.35">
      <c r="C58" t="s">
        <v>262</v>
      </c>
      <c r="F58" s="615" t="s">
        <v>222</v>
      </c>
      <c r="H58" s="615" t="s">
        <v>222</v>
      </c>
      <c r="I58" s="615" t="s">
        <v>222</v>
      </c>
      <c r="J58" s="715"/>
    </row>
    <row r="59" spans="3:12" ht="15" thickTop="1" x14ac:dyDescent="0.3">
      <c r="C59" t="s">
        <v>263</v>
      </c>
      <c r="J59" s="715"/>
    </row>
    <row r="60" spans="3:12" ht="15" thickBot="1" x14ac:dyDescent="0.35">
      <c r="C60" t="s">
        <v>264</v>
      </c>
      <c r="J60" s="615" t="s">
        <v>222</v>
      </c>
    </row>
    <row r="61" spans="3:12" ht="15" thickTop="1" x14ac:dyDescent="0.3">
      <c r="C61" t="s">
        <v>265</v>
      </c>
    </row>
    <row r="62" spans="3:12" x14ac:dyDescent="0.3">
      <c r="C62" t="s">
        <v>266</v>
      </c>
    </row>
    <row r="63" spans="3:12" x14ac:dyDescent="0.3">
      <c r="C63" t="s">
        <v>267</v>
      </c>
    </row>
  </sheetData>
  <mergeCells count="15">
    <mergeCell ref="D30:D31"/>
    <mergeCell ref="L34:L39"/>
    <mergeCell ref="J35:J40"/>
    <mergeCell ref="G36:G40"/>
    <mergeCell ref="H36:H38"/>
    <mergeCell ref="I36:I40"/>
    <mergeCell ref="H39:H40"/>
    <mergeCell ref="J57:J59"/>
    <mergeCell ref="F43:F48"/>
    <mergeCell ref="G43:G48"/>
    <mergeCell ref="H43:H48"/>
    <mergeCell ref="I43:I48"/>
    <mergeCell ref="J43:J48"/>
    <mergeCell ref="G51:G52"/>
    <mergeCell ref="H51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1"/>
  <sheetViews>
    <sheetView topLeftCell="A19" zoomScale="150" zoomScaleNormal="150" workbookViewId="0">
      <selection activeCell="G24" sqref="G24"/>
    </sheetView>
  </sheetViews>
  <sheetFormatPr baseColWidth="10" defaultRowHeight="14.4" x14ac:dyDescent="0.3"/>
  <cols>
    <col min="2" max="2" width="12.77734375" bestFit="1" customWidth="1"/>
    <col min="3" max="3" width="8.44140625" bestFit="1" customWidth="1"/>
    <col min="4" max="4" width="9.109375" bestFit="1" customWidth="1"/>
    <col min="5" max="5" width="14.88671875" bestFit="1" customWidth="1"/>
    <col min="7" max="8" width="14.21875" customWidth="1"/>
  </cols>
  <sheetData>
    <row r="2" spans="1:6" ht="31.2" x14ac:dyDescent="0.3">
      <c r="F2" s="61" t="s">
        <v>285</v>
      </c>
    </row>
    <row r="3" spans="1:6" ht="15" customHeight="1" x14ac:dyDescent="0.3">
      <c r="A3" s="643" t="s">
        <v>282</v>
      </c>
      <c r="F3" s="61"/>
    </row>
    <row r="4" spans="1:6" x14ac:dyDescent="0.3">
      <c r="B4" t="s">
        <v>22</v>
      </c>
    </row>
    <row r="5" spans="1:6" ht="15" thickBot="1" x14ac:dyDescent="0.35"/>
    <row r="6" spans="1:6" ht="18.600000000000001" thickBot="1" x14ac:dyDescent="0.4">
      <c r="B6" s="55"/>
      <c r="C6" s="56" t="s">
        <v>0</v>
      </c>
      <c r="D6" s="56" t="s">
        <v>1</v>
      </c>
      <c r="E6" s="56" t="s">
        <v>2</v>
      </c>
    </row>
    <row r="7" spans="1:6" ht="18" x14ac:dyDescent="0.35">
      <c r="B7" s="15" t="s">
        <v>3</v>
      </c>
      <c r="C7" s="16"/>
      <c r="D7" s="16"/>
      <c r="E7" s="17"/>
    </row>
    <row r="8" spans="1:6" ht="18" x14ac:dyDescent="0.35">
      <c r="B8" s="18"/>
      <c r="C8" s="19" t="s">
        <v>5</v>
      </c>
      <c r="D8" s="20">
        <v>4</v>
      </c>
      <c r="E8" s="21">
        <v>7.75</v>
      </c>
    </row>
    <row r="9" spans="1:6" ht="18" x14ac:dyDescent="0.35">
      <c r="B9" s="18"/>
      <c r="C9" s="19" t="s">
        <v>6</v>
      </c>
      <c r="D9" s="20">
        <v>1</v>
      </c>
      <c r="E9" s="21">
        <v>7.75</v>
      </c>
    </row>
    <row r="10" spans="1:6" ht="18" x14ac:dyDescent="0.35">
      <c r="B10" s="18"/>
      <c r="C10" s="19" t="s">
        <v>7</v>
      </c>
      <c r="D10" s="20">
        <v>2</v>
      </c>
      <c r="E10" s="21">
        <v>9.5</v>
      </c>
    </row>
    <row r="11" spans="1:6" ht="18" x14ac:dyDescent="0.35">
      <c r="B11" s="18"/>
      <c r="C11" s="19" t="s">
        <v>8</v>
      </c>
      <c r="D11" s="20">
        <v>2</v>
      </c>
      <c r="E11" s="21">
        <v>9.5</v>
      </c>
    </row>
    <row r="12" spans="1:6" ht="18" x14ac:dyDescent="0.35">
      <c r="B12" s="18"/>
      <c r="C12" s="19" t="s">
        <v>9</v>
      </c>
      <c r="D12" s="20">
        <v>0</v>
      </c>
      <c r="E12" s="21">
        <v>0</v>
      </c>
    </row>
    <row r="13" spans="1:6" ht="18" x14ac:dyDescent="0.35">
      <c r="B13" s="22"/>
      <c r="C13" s="19" t="s">
        <v>10</v>
      </c>
      <c r="D13" s="20">
        <v>3</v>
      </c>
      <c r="E13" s="21">
        <v>7.75</v>
      </c>
    </row>
    <row r="14" spans="1:6" ht="18.600000000000001" thickBot="1" x14ac:dyDescent="0.4">
      <c r="B14" s="18"/>
      <c r="C14" s="23"/>
      <c r="D14" s="23"/>
      <c r="E14" s="24"/>
    </row>
    <row r="15" spans="1:6" ht="18" x14ac:dyDescent="0.35">
      <c r="B15" s="15" t="s">
        <v>11</v>
      </c>
      <c r="C15" s="25"/>
      <c r="D15" s="25"/>
      <c r="E15" s="26"/>
    </row>
    <row r="16" spans="1:6" ht="18.600000000000001" thickBot="1" x14ac:dyDescent="0.4">
      <c r="B16" s="27"/>
      <c r="C16" s="28" t="s">
        <v>12</v>
      </c>
      <c r="D16" s="28">
        <v>2</v>
      </c>
      <c r="E16" s="29">
        <v>10</v>
      </c>
    </row>
    <row r="20" spans="1:9" ht="15" thickBot="1" x14ac:dyDescent="0.35"/>
    <row r="21" spans="1:9" x14ac:dyDescent="0.3">
      <c r="B21" s="31"/>
      <c r="C21" s="32"/>
      <c r="D21" s="32"/>
      <c r="E21" s="33" t="s">
        <v>14</v>
      </c>
      <c r="F21" s="34" t="s">
        <v>4</v>
      </c>
    </row>
    <row r="22" spans="1:9" x14ac:dyDescent="0.3">
      <c r="B22" s="35" t="s">
        <v>15</v>
      </c>
      <c r="C22" s="36"/>
      <c r="D22" s="36"/>
      <c r="E22" s="37">
        <v>1547</v>
      </c>
      <c r="F22" s="38">
        <f>E22/365*7</f>
        <v>29.668493150684931</v>
      </c>
    </row>
    <row r="23" spans="1:9" ht="15" thickBot="1" x14ac:dyDescent="0.35">
      <c r="B23" s="39" t="s">
        <v>16</v>
      </c>
      <c r="C23" s="40"/>
      <c r="D23" s="40"/>
      <c r="E23" s="41">
        <v>1460</v>
      </c>
      <c r="F23" s="42">
        <f>E23/365*7</f>
        <v>28</v>
      </c>
    </row>
    <row r="25" spans="1:9" x14ac:dyDescent="0.3">
      <c r="A25" s="643" t="s">
        <v>283</v>
      </c>
      <c r="B25" s="644"/>
      <c r="C25" s="644"/>
      <c r="D25" s="105"/>
      <c r="E25" s="105"/>
      <c r="F25" s="105"/>
    </row>
    <row r="26" spans="1:9" ht="15" thickBot="1" x14ac:dyDescent="0.35"/>
    <row r="27" spans="1:9" ht="15" thickBot="1" x14ac:dyDescent="0.35">
      <c r="C27" s="57" t="s">
        <v>0</v>
      </c>
      <c r="D27" s="57" t="s">
        <v>1</v>
      </c>
      <c r="E27" s="57" t="s">
        <v>2</v>
      </c>
      <c r="F27" s="57" t="s">
        <v>17</v>
      </c>
      <c r="G27" s="58" t="s">
        <v>18</v>
      </c>
      <c r="H27" s="59" t="s">
        <v>19</v>
      </c>
      <c r="I27" s="60" t="s">
        <v>20</v>
      </c>
    </row>
    <row r="28" spans="1:9" x14ac:dyDescent="0.3">
      <c r="B28" s="1" t="s">
        <v>3</v>
      </c>
      <c r="F28" s="12"/>
      <c r="G28" s="46"/>
      <c r="I28" s="47"/>
    </row>
    <row r="29" spans="1:9" ht="18" x14ac:dyDescent="0.35">
      <c r="B29" s="18" t="s">
        <v>13</v>
      </c>
      <c r="C29" s="3" t="s">
        <v>5</v>
      </c>
      <c r="D29" s="4">
        <v>4</v>
      </c>
      <c r="E29" s="4">
        <v>7.75</v>
      </c>
      <c r="F29" s="13">
        <f>D29*E29</f>
        <v>31</v>
      </c>
      <c r="G29" s="48">
        <f>F29+F30+F31+F32+F33+F34</f>
        <v>100</v>
      </c>
      <c r="H29" s="12"/>
      <c r="I29" s="47"/>
    </row>
    <row r="30" spans="1:9" x14ac:dyDescent="0.3">
      <c r="B30" s="2"/>
      <c r="C30" s="3" t="s">
        <v>6</v>
      </c>
      <c r="D30" s="4">
        <v>1</v>
      </c>
      <c r="E30" s="4">
        <v>7.75</v>
      </c>
      <c r="F30" s="13">
        <v>7.75</v>
      </c>
      <c r="G30" s="48"/>
      <c r="H30" s="12"/>
      <c r="I30" s="47"/>
    </row>
    <row r="31" spans="1:9" x14ac:dyDescent="0.3">
      <c r="B31" s="2"/>
      <c r="C31" s="3" t="s">
        <v>7</v>
      </c>
      <c r="D31" s="4">
        <v>2</v>
      </c>
      <c r="E31" s="4">
        <v>9.5</v>
      </c>
      <c r="F31" s="13">
        <f t="shared" ref="F31:F34" si="0">D31*E31</f>
        <v>19</v>
      </c>
      <c r="G31" s="48"/>
      <c r="H31" s="12"/>
      <c r="I31" s="47"/>
    </row>
    <row r="32" spans="1:9" x14ac:dyDescent="0.3">
      <c r="B32" s="2"/>
      <c r="C32" s="3" t="s">
        <v>8</v>
      </c>
      <c r="D32" s="4">
        <v>2</v>
      </c>
      <c r="E32" s="4">
        <v>9.5</v>
      </c>
      <c r="F32" s="13">
        <f t="shared" si="0"/>
        <v>19</v>
      </c>
      <c r="G32" s="48"/>
      <c r="H32" s="12"/>
      <c r="I32" s="47"/>
    </row>
    <row r="33" spans="2:9" x14ac:dyDescent="0.3">
      <c r="B33" s="2"/>
      <c r="C33" s="3" t="s">
        <v>9</v>
      </c>
      <c r="D33" s="4">
        <v>0</v>
      </c>
      <c r="E33" s="4">
        <v>0</v>
      </c>
      <c r="F33" s="13">
        <f t="shared" si="0"/>
        <v>0</v>
      </c>
      <c r="G33" s="48"/>
      <c r="H33" s="12"/>
      <c r="I33" s="47"/>
    </row>
    <row r="34" spans="2:9" x14ac:dyDescent="0.3">
      <c r="B34" s="5"/>
      <c r="C34" s="3" t="s">
        <v>10</v>
      </c>
      <c r="D34" s="4">
        <v>3</v>
      </c>
      <c r="E34" s="4">
        <v>7.75</v>
      </c>
      <c r="F34" s="13">
        <f t="shared" si="0"/>
        <v>23.25</v>
      </c>
      <c r="G34" s="49"/>
      <c r="H34" s="49">
        <f>(G29*7)</f>
        <v>700</v>
      </c>
      <c r="I34" s="47">
        <f>H34*52/E22</f>
        <v>23.529411764705884</v>
      </c>
    </row>
    <row r="35" spans="2:9" ht="15" thickBot="1" x14ac:dyDescent="0.35">
      <c r="B35" s="2"/>
      <c r="C35" s="6"/>
      <c r="D35" s="6"/>
      <c r="E35" s="6"/>
      <c r="F35" s="6"/>
      <c r="G35" s="50"/>
      <c r="H35" s="30"/>
      <c r="I35" s="47"/>
    </row>
    <row r="36" spans="2:9" x14ac:dyDescent="0.3">
      <c r="B36" s="1" t="s">
        <v>11</v>
      </c>
      <c r="C36" s="7"/>
      <c r="D36" s="7"/>
      <c r="E36" s="7"/>
      <c r="F36" s="7"/>
      <c r="G36" s="51"/>
      <c r="H36" s="51"/>
      <c r="I36" s="1"/>
    </row>
    <row r="37" spans="2:9" ht="15" thickBot="1" x14ac:dyDescent="0.35">
      <c r="B37" s="8"/>
      <c r="C37" s="9" t="s">
        <v>12</v>
      </c>
      <c r="D37" s="9">
        <v>2</v>
      </c>
      <c r="E37" s="9">
        <v>10</v>
      </c>
      <c r="F37" s="9">
        <f>D37*E37</f>
        <v>20</v>
      </c>
      <c r="G37" s="52">
        <f>F37</f>
        <v>20</v>
      </c>
      <c r="H37" s="52">
        <f>G37*7</f>
        <v>140</v>
      </c>
      <c r="I37" s="50">
        <f>H37*52/E23</f>
        <v>4.9863013698630141</v>
      </c>
    </row>
    <row r="38" spans="2:9" ht="15" thickBot="1" x14ac:dyDescent="0.35">
      <c r="H38" s="53" t="s">
        <v>21</v>
      </c>
      <c r="I38" s="54">
        <f>I34+I37</f>
        <v>28.515713134568898</v>
      </c>
    </row>
    <row r="40" spans="2:9" x14ac:dyDescent="0.3">
      <c r="E40" t="s">
        <v>85</v>
      </c>
    </row>
    <row r="41" spans="2:9" x14ac:dyDescent="0.3">
      <c r="G41">
        <f>G29/(D29+D30+D31+D32+D34)</f>
        <v>8.3333333333333339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0"/>
  <sheetViews>
    <sheetView topLeftCell="A25" zoomScale="140" zoomScaleNormal="140" workbookViewId="0">
      <selection activeCell="D42" sqref="D42"/>
    </sheetView>
  </sheetViews>
  <sheetFormatPr baseColWidth="10" defaultRowHeight="14.4" x14ac:dyDescent="0.3"/>
  <cols>
    <col min="2" max="2" width="12.77734375" bestFit="1" customWidth="1"/>
    <col min="3" max="3" width="8.44140625" bestFit="1" customWidth="1"/>
    <col min="4" max="4" width="9.109375" bestFit="1" customWidth="1"/>
    <col min="5" max="5" width="14.88671875" bestFit="1" customWidth="1"/>
    <col min="7" max="7" width="12.6640625" bestFit="1" customWidth="1"/>
    <col min="8" max="8" width="13.88671875" bestFit="1" customWidth="1"/>
    <col min="9" max="9" width="12" bestFit="1" customWidth="1"/>
  </cols>
  <sheetData>
    <row r="2" spans="1:6" ht="31.2" x14ac:dyDescent="0.3">
      <c r="F2" s="61" t="s">
        <v>284</v>
      </c>
    </row>
    <row r="3" spans="1:6" ht="15" customHeight="1" x14ac:dyDescent="0.3">
      <c r="A3" s="643" t="s">
        <v>282</v>
      </c>
      <c r="F3" s="61"/>
    </row>
    <row r="4" spans="1:6" x14ac:dyDescent="0.3">
      <c r="B4" t="s">
        <v>287</v>
      </c>
    </row>
    <row r="5" spans="1:6" ht="15" thickBot="1" x14ac:dyDescent="0.35">
      <c r="B5" t="s">
        <v>286</v>
      </c>
    </row>
    <row r="6" spans="1:6" ht="18.600000000000001" thickBot="1" x14ac:dyDescent="0.4">
      <c r="B6" s="55"/>
      <c r="C6" s="56" t="s">
        <v>0</v>
      </c>
      <c r="D6" s="56" t="s">
        <v>1</v>
      </c>
      <c r="E6" s="56" t="s">
        <v>2</v>
      </c>
    </row>
    <row r="7" spans="1:6" ht="18" x14ac:dyDescent="0.35">
      <c r="B7" s="15" t="s">
        <v>3</v>
      </c>
      <c r="C7" s="16"/>
      <c r="D7" s="16"/>
      <c r="E7" s="17"/>
    </row>
    <row r="8" spans="1:6" ht="18" x14ac:dyDescent="0.35">
      <c r="B8" s="18"/>
      <c r="C8" s="19" t="s">
        <v>5</v>
      </c>
      <c r="D8" s="20">
        <v>4</v>
      </c>
      <c r="E8" s="21">
        <v>7.75</v>
      </c>
    </row>
    <row r="9" spans="1:6" ht="18" x14ac:dyDescent="0.35">
      <c r="B9" s="18"/>
      <c r="C9" s="19" t="s">
        <v>6</v>
      </c>
      <c r="D9" s="20">
        <v>1</v>
      </c>
      <c r="E9" s="21">
        <v>7.75</v>
      </c>
    </row>
    <row r="10" spans="1:6" ht="18" x14ac:dyDescent="0.35">
      <c r="B10" s="18"/>
      <c r="C10" s="19" t="s">
        <v>7</v>
      </c>
      <c r="D10" s="20">
        <v>2</v>
      </c>
      <c r="E10" s="21">
        <v>9.5</v>
      </c>
    </row>
    <row r="11" spans="1:6" ht="18" x14ac:dyDescent="0.35">
      <c r="B11" s="18"/>
      <c r="C11" s="19" t="s">
        <v>8</v>
      </c>
      <c r="D11" s="20">
        <v>2</v>
      </c>
      <c r="E11" s="21">
        <v>9.5</v>
      </c>
    </row>
    <row r="12" spans="1:6" ht="18" x14ac:dyDescent="0.35">
      <c r="B12" s="18"/>
      <c r="C12" s="19" t="s">
        <v>9</v>
      </c>
      <c r="D12" s="20">
        <v>0</v>
      </c>
      <c r="E12" s="21">
        <v>0</v>
      </c>
    </row>
    <row r="13" spans="1:6" ht="18.600000000000001" thickBot="1" x14ac:dyDescent="0.4">
      <c r="B13" s="22"/>
      <c r="C13" s="62" t="s">
        <v>10</v>
      </c>
      <c r="D13" s="63">
        <v>3</v>
      </c>
      <c r="E13" s="64">
        <v>7.75</v>
      </c>
    </row>
    <row r="14" spans="1:6" ht="18.600000000000001" thickBot="1" x14ac:dyDescent="0.4">
      <c r="B14" s="18" t="s">
        <v>23</v>
      </c>
      <c r="C14" s="65" t="s">
        <v>24</v>
      </c>
      <c r="D14" s="66">
        <v>2</v>
      </c>
      <c r="E14" s="67">
        <v>7</v>
      </c>
    </row>
    <row r="15" spans="1:6" ht="18" x14ac:dyDescent="0.35">
      <c r="B15" s="15" t="s">
        <v>11</v>
      </c>
      <c r="C15" s="25"/>
      <c r="D15" s="25"/>
      <c r="E15" s="26"/>
    </row>
    <row r="16" spans="1:6" ht="18.600000000000001" thickBot="1" x14ac:dyDescent="0.4">
      <c r="B16" s="27"/>
      <c r="C16" s="28" t="s">
        <v>12</v>
      </c>
      <c r="D16" s="28">
        <v>2</v>
      </c>
      <c r="E16" s="29">
        <v>10</v>
      </c>
    </row>
    <row r="20" spans="1:9" ht="15" thickBot="1" x14ac:dyDescent="0.35"/>
    <row r="21" spans="1:9" x14ac:dyDescent="0.3">
      <c r="B21" s="31"/>
      <c r="C21" s="32"/>
      <c r="D21" s="32"/>
      <c r="E21" s="33" t="s">
        <v>14</v>
      </c>
      <c r="F21" s="34" t="s">
        <v>4</v>
      </c>
    </row>
    <row r="22" spans="1:9" x14ac:dyDescent="0.3">
      <c r="B22" s="35" t="s">
        <v>15</v>
      </c>
      <c r="C22" s="36"/>
      <c r="D22" s="36"/>
      <c r="E22" s="37">
        <v>1547</v>
      </c>
      <c r="F22" s="38">
        <f>E22/365*7</f>
        <v>29.668493150684931</v>
      </c>
    </row>
    <row r="23" spans="1:9" x14ac:dyDescent="0.3">
      <c r="B23" s="35" t="s">
        <v>15</v>
      </c>
      <c r="C23" s="36"/>
      <c r="D23" s="36"/>
      <c r="E23" s="68">
        <v>1607</v>
      </c>
      <c r="F23" s="69">
        <f>E23/365*7</f>
        <v>30.819178082191776</v>
      </c>
    </row>
    <row r="24" spans="1:9" ht="15" thickBot="1" x14ac:dyDescent="0.35">
      <c r="B24" s="39" t="s">
        <v>16</v>
      </c>
      <c r="C24" s="40"/>
      <c r="D24" s="40"/>
      <c r="E24" s="41">
        <v>1460</v>
      </c>
      <c r="F24" s="42">
        <f>E24/365*7</f>
        <v>28</v>
      </c>
    </row>
    <row r="25" spans="1:9" x14ac:dyDescent="0.3">
      <c r="B25" s="11"/>
      <c r="C25" s="11"/>
      <c r="D25" s="11"/>
      <c r="E25" s="303"/>
      <c r="F25" s="303"/>
    </row>
    <row r="27" spans="1:9" x14ac:dyDescent="0.3">
      <c r="A27" s="643" t="s">
        <v>283</v>
      </c>
      <c r="B27" s="644"/>
      <c r="C27" s="644"/>
    </row>
    <row r="28" spans="1:9" ht="15" thickBot="1" x14ac:dyDescent="0.35"/>
    <row r="29" spans="1:9" ht="15" thickBot="1" x14ac:dyDescent="0.35">
      <c r="C29" s="57" t="s">
        <v>0</v>
      </c>
      <c r="D29" s="57" t="s">
        <v>1</v>
      </c>
      <c r="E29" s="57" t="s">
        <v>2</v>
      </c>
      <c r="F29" s="57" t="s">
        <v>17</v>
      </c>
      <c r="G29" s="58" t="s">
        <v>18</v>
      </c>
      <c r="H29" s="59" t="s">
        <v>19</v>
      </c>
      <c r="I29" s="60" t="s">
        <v>20</v>
      </c>
    </row>
    <row r="30" spans="1:9" x14ac:dyDescent="0.3">
      <c r="B30" s="1" t="s">
        <v>3</v>
      </c>
      <c r="F30" s="12"/>
      <c r="G30" s="46"/>
      <c r="I30" s="1"/>
    </row>
    <row r="31" spans="1:9" ht="18" x14ac:dyDescent="0.35">
      <c r="B31" s="18" t="s">
        <v>13</v>
      </c>
      <c r="C31" s="3" t="s">
        <v>5</v>
      </c>
      <c r="D31" s="4">
        <v>4</v>
      </c>
      <c r="E31" s="4">
        <v>7.75</v>
      </c>
      <c r="F31" s="13">
        <f>D31*E31</f>
        <v>31</v>
      </c>
      <c r="G31" s="48">
        <f>F31+F32+F33+F34+F35+F36</f>
        <v>100</v>
      </c>
      <c r="H31" s="12"/>
      <c r="I31" s="47"/>
    </row>
    <row r="32" spans="1:9" x14ac:dyDescent="0.3">
      <c r="B32" s="2"/>
      <c r="C32" s="3" t="s">
        <v>6</v>
      </c>
      <c r="D32" s="4">
        <v>1</v>
      </c>
      <c r="E32" s="4">
        <v>7.75</v>
      </c>
      <c r="F32" s="13">
        <f t="shared" ref="F32:F36" si="0">D32*E32</f>
        <v>7.75</v>
      </c>
      <c r="G32" s="48"/>
      <c r="H32" s="12"/>
      <c r="I32" s="47"/>
    </row>
    <row r="33" spans="2:9" x14ac:dyDescent="0.3">
      <c r="B33" s="2"/>
      <c r="C33" s="3" t="s">
        <v>7</v>
      </c>
      <c r="D33" s="4">
        <v>2</v>
      </c>
      <c r="E33" s="4">
        <v>9.5</v>
      </c>
      <c r="F33" s="13">
        <f t="shared" si="0"/>
        <v>19</v>
      </c>
      <c r="G33" s="48"/>
      <c r="H33" s="12"/>
      <c r="I33" s="47"/>
    </row>
    <row r="34" spans="2:9" x14ac:dyDescent="0.3">
      <c r="B34" s="2"/>
      <c r="C34" s="3" t="s">
        <v>8</v>
      </c>
      <c r="D34" s="4">
        <v>2</v>
      </c>
      <c r="E34" s="4">
        <v>9.5</v>
      </c>
      <c r="F34" s="13">
        <f t="shared" si="0"/>
        <v>19</v>
      </c>
      <c r="G34" s="48"/>
      <c r="H34" s="12"/>
      <c r="I34" s="47"/>
    </row>
    <row r="35" spans="2:9" x14ac:dyDescent="0.3">
      <c r="B35" s="2"/>
      <c r="C35" s="3" t="s">
        <v>9</v>
      </c>
      <c r="D35" s="4">
        <v>0</v>
      </c>
      <c r="E35" s="4">
        <v>0</v>
      </c>
      <c r="F35" s="13">
        <f t="shared" si="0"/>
        <v>0</v>
      </c>
      <c r="G35" s="48"/>
      <c r="H35" s="12"/>
      <c r="I35" s="47"/>
    </row>
    <row r="36" spans="2:9" ht="15" thickBot="1" x14ac:dyDescent="0.35">
      <c r="B36" s="5"/>
      <c r="C36" s="3" t="s">
        <v>10</v>
      </c>
      <c r="D36" s="4">
        <v>3</v>
      </c>
      <c r="E36" s="4">
        <v>7.75</v>
      </c>
      <c r="F36" s="13">
        <f t="shared" si="0"/>
        <v>23.25</v>
      </c>
      <c r="G36" s="49"/>
      <c r="H36" s="49">
        <f>(G31*7)</f>
        <v>700</v>
      </c>
      <c r="I36" s="71">
        <f>H36*52/E22</f>
        <v>23.529411764705884</v>
      </c>
    </row>
    <row r="37" spans="2:9" ht="18.600000000000001" thickBot="1" x14ac:dyDescent="0.4">
      <c r="B37" s="18" t="s">
        <v>23</v>
      </c>
      <c r="C37" s="65" t="s">
        <v>24</v>
      </c>
      <c r="D37" s="66">
        <v>2</v>
      </c>
      <c r="E37" s="67">
        <v>7</v>
      </c>
      <c r="F37" s="6">
        <f>E37*2</f>
        <v>14</v>
      </c>
      <c r="G37" s="50">
        <f>F37</f>
        <v>14</v>
      </c>
      <c r="H37" s="30">
        <f>G37*5</f>
        <v>70</v>
      </c>
      <c r="I37" s="47">
        <f>H37*52/E23</f>
        <v>2.2650902302426883</v>
      </c>
    </row>
    <row r="38" spans="2:9" x14ac:dyDescent="0.3">
      <c r="B38" s="1" t="s">
        <v>11</v>
      </c>
      <c r="C38" s="7"/>
      <c r="D38" s="7"/>
      <c r="E38" s="7"/>
      <c r="F38" s="7"/>
      <c r="G38" s="51"/>
      <c r="H38" s="51"/>
      <c r="I38" s="1"/>
    </row>
    <row r="39" spans="2:9" ht="15" thickBot="1" x14ac:dyDescent="0.35">
      <c r="B39" s="8"/>
      <c r="C39" s="9" t="s">
        <v>12</v>
      </c>
      <c r="D39" s="9">
        <v>2</v>
      </c>
      <c r="E39" s="9">
        <v>10</v>
      </c>
      <c r="F39" s="9">
        <f>D39*E39</f>
        <v>20</v>
      </c>
      <c r="G39" s="52">
        <f>F39</f>
        <v>20</v>
      </c>
      <c r="H39" s="52">
        <f>G39*7</f>
        <v>140</v>
      </c>
      <c r="I39" s="50">
        <f>H39*52/E24</f>
        <v>4.9863013698630141</v>
      </c>
    </row>
    <row r="40" spans="2:9" ht="15" thickBot="1" x14ac:dyDescent="0.35">
      <c r="H40" s="53" t="s">
        <v>21</v>
      </c>
      <c r="I40" s="54">
        <f>I36+I39+I37</f>
        <v>30.780803364811586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63"/>
  <sheetViews>
    <sheetView topLeftCell="A31" workbookViewId="0">
      <selection activeCell="I46" sqref="I46"/>
    </sheetView>
  </sheetViews>
  <sheetFormatPr baseColWidth="10" defaultRowHeight="14.4" x14ac:dyDescent="0.3"/>
  <cols>
    <col min="2" max="2" width="12.77734375" bestFit="1" customWidth="1"/>
    <col min="3" max="3" width="8.44140625" bestFit="1" customWidth="1"/>
    <col min="4" max="4" width="12.44140625" customWidth="1"/>
    <col min="5" max="5" width="14.88671875" bestFit="1" customWidth="1"/>
    <col min="6" max="6" width="14.44140625" customWidth="1"/>
  </cols>
  <sheetData>
    <row r="2" spans="1:6" ht="31.2" x14ac:dyDescent="0.3">
      <c r="F2" s="61" t="s">
        <v>268</v>
      </c>
    </row>
    <row r="3" spans="1:6" ht="15" customHeight="1" x14ac:dyDescent="0.3">
      <c r="A3" s="643" t="s">
        <v>282</v>
      </c>
      <c r="F3" s="61"/>
    </row>
    <row r="4" spans="1:6" x14ac:dyDescent="0.3">
      <c r="B4" t="s">
        <v>22</v>
      </c>
    </row>
    <row r="5" spans="1:6" ht="15" thickBot="1" x14ac:dyDescent="0.35"/>
    <row r="6" spans="1:6" ht="18.600000000000001" thickBot="1" x14ac:dyDescent="0.4">
      <c r="B6" s="55"/>
      <c r="C6" s="56" t="s">
        <v>0</v>
      </c>
      <c r="D6" s="56" t="s">
        <v>1</v>
      </c>
      <c r="E6" s="56" t="s">
        <v>2</v>
      </c>
    </row>
    <row r="7" spans="1:6" ht="18" x14ac:dyDescent="0.35">
      <c r="B7" s="15" t="s">
        <v>3</v>
      </c>
      <c r="C7" s="16"/>
      <c r="D7" s="16"/>
      <c r="E7" s="17"/>
    </row>
    <row r="8" spans="1:6" ht="18" x14ac:dyDescent="0.35">
      <c r="B8" s="18"/>
      <c r="C8" s="19" t="s">
        <v>5</v>
      </c>
      <c r="D8" s="20">
        <v>4</v>
      </c>
      <c r="E8" s="21">
        <v>7.75</v>
      </c>
    </row>
    <row r="9" spans="1:6" ht="18" x14ac:dyDescent="0.35">
      <c r="B9" s="18"/>
      <c r="C9" s="19" t="s">
        <v>6</v>
      </c>
      <c r="D9" s="20">
        <v>1</v>
      </c>
      <c r="E9" s="21">
        <v>7.75</v>
      </c>
    </row>
    <row r="10" spans="1:6" ht="18" x14ac:dyDescent="0.35">
      <c r="B10" s="18"/>
      <c r="C10" s="19" t="s">
        <v>7</v>
      </c>
      <c r="D10" s="20">
        <v>2</v>
      </c>
      <c r="E10" s="21">
        <v>9.5</v>
      </c>
    </row>
    <row r="11" spans="1:6" ht="18" x14ac:dyDescent="0.35">
      <c r="B11" s="18"/>
      <c r="C11" s="19" t="s">
        <v>8</v>
      </c>
      <c r="D11" s="20">
        <v>2</v>
      </c>
      <c r="E11" s="21">
        <v>9.5</v>
      </c>
    </row>
    <row r="12" spans="1:6" ht="18" x14ac:dyDescent="0.35">
      <c r="B12" s="18"/>
      <c r="C12" s="19" t="s">
        <v>9</v>
      </c>
      <c r="D12" s="20">
        <v>0</v>
      </c>
      <c r="E12" s="21">
        <v>0</v>
      </c>
    </row>
    <row r="13" spans="1:6" ht="18" x14ac:dyDescent="0.35">
      <c r="B13" s="22"/>
      <c r="C13" s="19" t="s">
        <v>10</v>
      </c>
      <c r="D13" s="20">
        <v>3</v>
      </c>
      <c r="E13" s="21">
        <v>7.75</v>
      </c>
    </row>
    <row r="14" spans="1:6" ht="18.600000000000001" thickBot="1" x14ac:dyDescent="0.4">
      <c r="B14" s="18"/>
      <c r="C14" s="23"/>
      <c r="D14" s="23"/>
      <c r="E14" s="24"/>
    </row>
    <row r="15" spans="1:6" ht="18" x14ac:dyDescent="0.35">
      <c r="B15" s="15" t="s">
        <v>11</v>
      </c>
      <c r="C15" s="25"/>
      <c r="D15" s="25"/>
      <c r="E15" s="26"/>
    </row>
    <row r="16" spans="1:6" ht="18.600000000000001" thickBot="1" x14ac:dyDescent="0.4">
      <c r="B16" s="27"/>
      <c r="C16" s="28" t="s">
        <v>12</v>
      </c>
      <c r="D16" s="28">
        <v>2</v>
      </c>
      <c r="E16" s="29">
        <v>10</v>
      </c>
    </row>
    <row r="20" spans="1:9" ht="15" thickBot="1" x14ac:dyDescent="0.35"/>
    <row r="21" spans="1:9" x14ac:dyDescent="0.3">
      <c r="B21" s="31"/>
      <c r="C21" s="32"/>
      <c r="D21" s="32"/>
      <c r="E21" s="33" t="s">
        <v>14</v>
      </c>
      <c r="F21" s="34" t="s">
        <v>4</v>
      </c>
    </row>
    <row r="22" spans="1:9" x14ac:dyDescent="0.3">
      <c r="B22" s="35" t="s">
        <v>25</v>
      </c>
      <c r="C22" s="36"/>
      <c r="D22" s="36"/>
      <c r="E22" s="37">
        <v>1820</v>
      </c>
      <c r="F22" s="38">
        <f>E22/365*7</f>
        <v>34.904109589041099</v>
      </c>
    </row>
    <row r="23" spans="1:9" ht="15" thickBot="1" x14ac:dyDescent="0.35">
      <c r="B23" s="39" t="s">
        <v>26</v>
      </c>
      <c r="C23" s="40"/>
      <c r="D23" s="40"/>
      <c r="E23" s="41">
        <v>1690</v>
      </c>
      <c r="F23" s="42">
        <f>E23/365*7</f>
        <v>32.410958904109592</v>
      </c>
    </row>
    <row r="25" spans="1:9" x14ac:dyDescent="0.3">
      <c r="A25" s="643" t="s">
        <v>288</v>
      </c>
      <c r="B25" s="644"/>
      <c r="C25" s="644"/>
    </row>
    <row r="26" spans="1:9" ht="15" thickBot="1" x14ac:dyDescent="0.35"/>
    <row r="27" spans="1:9" ht="15" thickBot="1" x14ac:dyDescent="0.35">
      <c r="C27" s="57" t="s">
        <v>0</v>
      </c>
      <c r="D27" s="57" t="s">
        <v>1</v>
      </c>
      <c r="E27" s="57" t="s">
        <v>2</v>
      </c>
      <c r="F27" s="57" t="s">
        <v>17</v>
      </c>
      <c r="G27" s="58" t="s">
        <v>18</v>
      </c>
      <c r="H27" s="59" t="s">
        <v>19</v>
      </c>
      <c r="I27" s="60" t="s">
        <v>20</v>
      </c>
    </row>
    <row r="28" spans="1:9" x14ac:dyDescent="0.3">
      <c r="B28" s="1" t="s">
        <v>3</v>
      </c>
      <c r="F28" s="12"/>
      <c r="G28" s="46"/>
      <c r="I28" s="47"/>
    </row>
    <row r="29" spans="1:9" ht="18" x14ac:dyDescent="0.35">
      <c r="B29" s="18" t="s">
        <v>13</v>
      </c>
      <c r="C29" s="3" t="s">
        <v>5</v>
      </c>
      <c r="D29" s="4">
        <v>4</v>
      </c>
      <c r="E29" s="4">
        <v>7.75</v>
      </c>
      <c r="F29" s="13">
        <f>D29*E29</f>
        <v>31</v>
      </c>
      <c r="G29" s="48">
        <f>F29+F30+F31+F32+F33+F34</f>
        <v>100</v>
      </c>
      <c r="H29" s="12"/>
      <c r="I29" s="47"/>
    </row>
    <row r="30" spans="1:9" x14ac:dyDescent="0.3">
      <c r="B30" s="2"/>
      <c r="C30" s="3" t="s">
        <v>6</v>
      </c>
      <c r="D30" s="4">
        <v>1</v>
      </c>
      <c r="E30" s="4">
        <v>7.75</v>
      </c>
      <c r="F30" s="13">
        <v>7.75</v>
      </c>
      <c r="G30" s="48"/>
      <c r="H30" s="12"/>
      <c r="I30" s="47"/>
    </row>
    <row r="31" spans="1:9" x14ac:dyDescent="0.3">
      <c r="B31" s="2"/>
      <c r="C31" s="3" t="s">
        <v>7</v>
      </c>
      <c r="D31" s="4">
        <v>2</v>
      </c>
      <c r="E31" s="4">
        <v>9.5</v>
      </c>
      <c r="F31" s="13">
        <f t="shared" ref="F31:F34" si="0">D31*E31</f>
        <v>19</v>
      </c>
      <c r="G31" s="48"/>
      <c r="H31" s="12"/>
      <c r="I31" s="47"/>
    </row>
    <row r="32" spans="1:9" x14ac:dyDescent="0.3">
      <c r="B32" s="2"/>
      <c r="C32" s="3" t="s">
        <v>8</v>
      </c>
      <c r="D32" s="4">
        <v>2</v>
      </c>
      <c r="E32" s="4">
        <v>9.5</v>
      </c>
      <c r="F32" s="13">
        <f t="shared" si="0"/>
        <v>19</v>
      </c>
      <c r="G32" s="48"/>
      <c r="H32" s="12"/>
      <c r="I32" s="47"/>
    </row>
    <row r="33" spans="1:9" x14ac:dyDescent="0.3">
      <c r="B33" s="2"/>
      <c r="C33" s="3" t="s">
        <v>9</v>
      </c>
      <c r="D33" s="4">
        <v>0</v>
      </c>
      <c r="E33" s="4">
        <v>0</v>
      </c>
      <c r="F33" s="13">
        <f t="shared" si="0"/>
        <v>0</v>
      </c>
      <c r="G33" s="48"/>
      <c r="H33" s="12"/>
      <c r="I33" s="47"/>
    </row>
    <row r="34" spans="1:9" ht="18" x14ac:dyDescent="0.3">
      <c r="B34" s="5"/>
      <c r="C34" s="3" t="s">
        <v>10</v>
      </c>
      <c r="D34" s="4">
        <v>3</v>
      </c>
      <c r="E34" s="4">
        <v>7.75</v>
      </c>
      <c r="F34" s="13">
        <f t="shared" si="0"/>
        <v>23.25</v>
      </c>
      <c r="G34" s="49"/>
      <c r="H34" s="49">
        <f>(G29*7)</f>
        <v>700</v>
      </c>
      <c r="I34" s="74">
        <f>H34*52/E22</f>
        <v>20</v>
      </c>
    </row>
    <row r="35" spans="1:9" ht="18.600000000000001" thickBot="1" x14ac:dyDescent="0.35">
      <c r="B35" s="2"/>
      <c r="C35" s="6"/>
      <c r="D35" s="6"/>
      <c r="E35" s="6"/>
      <c r="F35" s="6"/>
      <c r="G35" s="50"/>
      <c r="H35" s="30"/>
      <c r="I35" s="75"/>
    </row>
    <row r="36" spans="1:9" ht="18" x14ac:dyDescent="0.3">
      <c r="B36" s="1" t="s">
        <v>11</v>
      </c>
      <c r="C36" s="7"/>
      <c r="D36" s="7"/>
      <c r="E36" s="7"/>
      <c r="F36" s="7"/>
      <c r="G36" s="51"/>
      <c r="H36" s="51"/>
      <c r="I36" s="76"/>
    </row>
    <row r="37" spans="1:9" ht="18.600000000000001" thickBot="1" x14ac:dyDescent="0.35">
      <c r="B37" s="8"/>
      <c r="C37" s="9" t="s">
        <v>12</v>
      </c>
      <c r="D37" s="9">
        <v>2</v>
      </c>
      <c r="E37" s="9">
        <v>10</v>
      </c>
      <c r="F37" s="9">
        <f>D37*E37</f>
        <v>20</v>
      </c>
      <c r="G37" s="52">
        <f>F37</f>
        <v>20</v>
      </c>
      <c r="H37" s="52">
        <f>G37*7</f>
        <v>140</v>
      </c>
      <c r="I37" s="73">
        <f>H37*52/E23</f>
        <v>4.3076923076923075</v>
      </c>
    </row>
    <row r="38" spans="1:9" ht="15" thickBot="1" x14ac:dyDescent="0.35">
      <c r="H38" s="53" t="s">
        <v>21</v>
      </c>
      <c r="I38" s="54">
        <f>I34+I37</f>
        <v>24.307692307692307</v>
      </c>
    </row>
    <row r="42" spans="1:9" x14ac:dyDescent="0.3">
      <c r="A42" s="643" t="s">
        <v>289</v>
      </c>
      <c r="B42" s="644"/>
      <c r="C42" s="644"/>
      <c r="D42" s="644"/>
      <c r="E42" s="644"/>
    </row>
    <row r="45" spans="1:9" x14ac:dyDescent="0.3">
      <c r="B45" t="s">
        <v>22</v>
      </c>
      <c r="D45" t="s">
        <v>302</v>
      </c>
    </row>
    <row r="46" spans="1:9" ht="15" thickBot="1" x14ac:dyDescent="0.35"/>
    <row r="47" spans="1:9" ht="48" thickBot="1" x14ac:dyDescent="0.4">
      <c r="B47" s="55"/>
      <c r="C47" s="56" t="s">
        <v>0</v>
      </c>
      <c r="D47" s="56" t="s">
        <v>1</v>
      </c>
      <c r="E47" s="77" t="s">
        <v>27</v>
      </c>
      <c r="F47" s="78" t="s">
        <v>28</v>
      </c>
    </row>
    <row r="48" spans="1:9" ht="18" x14ac:dyDescent="0.35">
      <c r="B48" s="15" t="s">
        <v>3</v>
      </c>
      <c r="C48" s="16"/>
      <c r="D48" s="16"/>
      <c r="E48" s="16"/>
      <c r="F48" s="46"/>
    </row>
    <row r="49" spans="1:10" ht="18" x14ac:dyDescent="0.35">
      <c r="B49" s="18"/>
      <c r="C49" s="19" t="s">
        <v>5</v>
      </c>
      <c r="D49" s="20">
        <v>4</v>
      </c>
      <c r="E49" s="649">
        <f>D49+D50+D51+D52+D53+D54</f>
        <v>12</v>
      </c>
      <c r="F49" s="652">
        <f>E49*2</f>
        <v>24</v>
      </c>
    </row>
    <row r="50" spans="1:10" ht="18" x14ac:dyDescent="0.35">
      <c r="B50" s="18"/>
      <c r="C50" s="19" t="s">
        <v>6</v>
      </c>
      <c r="D50" s="20">
        <v>1</v>
      </c>
      <c r="E50" s="650"/>
      <c r="F50" s="653"/>
    </row>
    <row r="51" spans="1:10" ht="18" x14ac:dyDescent="0.35">
      <c r="B51" s="18"/>
      <c r="C51" s="19" t="s">
        <v>7</v>
      </c>
      <c r="D51" s="20">
        <v>2</v>
      </c>
      <c r="E51" s="650"/>
      <c r="F51" s="653"/>
    </row>
    <row r="52" spans="1:10" ht="18" x14ac:dyDescent="0.35">
      <c r="B52" s="18"/>
      <c r="C52" s="19" t="s">
        <v>8</v>
      </c>
      <c r="D52" s="20">
        <v>2</v>
      </c>
      <c r="E52" s="650"/>
      <c r="F52" s="653"/>
    </row>
    <row r="53" spans="1:10" ht="18" x14ac:dyDescent="0.35">
      <c r="B53" s="18"/>
      <c r="C53" s="19" t="s">
        <v>9</v>
      </c>
      <c r="D53" s="20">
        <v>0</v>
      </c>
      <c r="E53" s="650"/>
      <c r="F53" s="653"/>
    </row>
    <row r="54" spans="1:10" ht="18" x14ac:dyDescent="0.35">
      <c r="B54" s="22"/>
      <c r="C54" s="19" t="s">
        <v>10</v>
      </c>
      <c r="D54" s="20">
        <v>3</v>
      </c>
      <c r="E54" s="651"/>
      <c r="F54" s="654"/>
    </row>
    <row r="55" spans="1:10" ht="18.600000000000001" thickBot="1" x14ac:dyDescent="0.4">
      <c r="B55" s="18"/>
      <c r="C55" s="23"/>
      <c r="D55" s="23"/>
      <c r="E55" s="23"/>
      <c r="F55" s="80"/>
    </row>
    <row r="56" spans="1:10" ht="18" x14ac:dyDescent="0.35">
      <c r="B56" s="15" t="s">
        <v>11</v>
      </c>
      <c r="C56" s="25"/>
      <c r="D56" s="25"/>
      <c r="E56" s="26"/>
      <c r="F56" s="79"/>
    </row>
    <row r="57" spans="1:10" ht="18.600000000000001" thickBot="1" x14ac:dyDescent="0.4">
      <c r="B57" s="27"/>
      <c r="C57" s="28" t="s">
        <v>12</v>
      </c>
      <c r="D57" s="28">
        <v>2</v>
      </c>
      <c r="E57" s="29">
        <f>D57</f>
        <v>2</v>
      </c>
      <c r="F57" s="81">
        <f>E57*2</f>
        <v>4</v>
      </c>
    </row>
    <row r="60" spans="1:10" x14ac:dyDescent="0.3">
      <c r="A60" s="643" t="s">
        <v>291</v>
      </c>
      <c r="B60" s="644"/>
      <c r="C60" s="644"/>
      <c r="D60" s="644"/>
      <c r="E60" s="644"/>
      <c r="F60" s="644"/>
    </row>
    <row r="62" spans="1:10" ht="15" thickBot="1" x14ac:dyDescent="0.35"/>
    <row r="63" spans="1:10" ht="47.4" thickBot="1" x14ac:dyDescent="0.35">
      <c r="C63" s="57" t="s">
        <v>0</v>
      </c>
      <c r="D63" s="57" t="s">
        <v>1</v>
      </c>
      <c r="E63" s="57" t="s">
        <v>2</v>
      </c>
      <c r="F63" s="57" t="s">
        <v>17</v>
      </c>
      <c r="G63" s="58" t="s">
        <v>18</v>
      </c>
      <c r="H63" s="59" t="s">
        <v>19</v>
      </c>
      <c r="I63" s="60" t="s">
        <v>20</v>
      </c>
      <c r="J63" s="78" t="s">
        <v>28</v>
      </c>
    </row>
    <row r="64" spans="1:10" x14ac:dyDescent="0.3">
      <c r="B64" s="1" t="s">
        <v>3</v>
      </c>
      <c r="F64" s="12"/>
      <c r="G64" s="46"/>
      <c r="I64" s="47"/>
      <c r="J64" s="46"/>
    </row>
    <row r="65" spans="2:10" ht="18" x14ac:dyDescent="0.35">
      <c r="B65" s="18" t="s">
        <v>13</v>
      </c>
      <c r="C65" s="3" t="s">
        <v>5</v>
      </c>
      <c r="D65" s="4">
        <v>4</v>
      </c>
      <c r="E65" s="4">
        <v>7.75</v>
      </c>
      <c r="F65" s="13">
        <f>D65*E65</f>
        <v>31</v>
      </c>
      <c r="G65" s="48">
        <f>F65+F66+F67+F68+F69+F70</f>
        <v>100</v>
      </c>
      <c r="H65" s="12"/>
      <c r="I65" s="47"/>
      <c r="J65" s="655">
        <f>E49*2</f>
        <v>24</v>
      </c>
    </row>
    <row r="66" spans="2:10" x14ac:dyDescent="0.3">
      <c r="B66" s="2"/>
      <c r="C66" s="3" t="s">
        <v>6</v>
      </c>
      <c r="D66" s="4">
        <v>1</v>
      </c>
      <c r="E66" s="4">
        <v>7.75</v>
      </c>
      <c r="F66" s="13">
        <v>7.75</v>
      </c>
      <c r="G66" s="48"/>
      <c r="H66" s="12"/>
      <c r="I66" s="47"/>
      <c r="J66" s="656"/>
    </row>
    <row r="67" spans="2:10" x14ac:dyDescent="0.3">
      <c r="B67" s="2"/>
      <c r="C67" s="3" t="s">
        <v>7</v>
      </c>
      <c r="D67" s="4">
        <v>2</v>
      </c>
      <c r="E67" s="4">
        <v>9.5</v>
      </c>
      <c r="F67" s="13">
        <f t="shared" ref="F67:F70" si="1">D67*E67</f>
        <v>19</v>
      </c>
      <c r="G67" s="48"/>
      <c r="H67" s="12"/>
      <c r="I67" s="47"/>
      <c r="J67" s="656"/>
    </row>
    <row r="68" spans="2:10" x14ac:dyDescent="0.3">
      <c r="B68" s="2"/>
      <c r="C68" s="3" t="s">
        <v>8</v>
      </c>
      <c r="D68" s="4">
        <v>2</v>
      </c>
      <c r="E68" s="4">
        <v>9.5</v>
      </c>
      <c r="F68" s="13">
        <f t="shared" si="1"/>
        <v>19</v>
      </c>
      <c r="G68" s="48"/>
      <c r="H68" s="12"/>
      <c r="I68" s="47"/>
      <c r="J68" s="656"/>
    </row>
    <row r="69" spans="2:10" x14ac:dyDescent="0.3">
      <c r="B69" s="2"/>
      <c r="C69" s="3" t="s">
        <v>9</v>
      </c>
      <c r="D69" s="4">
        <v>0</v>
      </c>
      <c r="E69" s="4">
        <v>0</v>
      </c>
      <c r="F69" s="13">
        <f t="shared" si="1"/>
        <v>0</v>
      </c>
      <c r="G69" s="48"/>
      <c r="H69" s="12"/>
      <c r="I69" s="47"/>
      <c r="J69" s="656"/>
    </row>
    <row r="70" spans="2:10" ht="18" x14ac:dyDescent="0.3">
      <c r="B70" s="5"/>
      <c r="C70" s="3" t="s">
        <v>10</v>
      </c>
      <c r="D70" s="4">
        <v>3</v>
      </c>
      <c r="E70" s="4">
        <v>7.75</v>
      </c>
      <c r="F70" s="13">
        <f t="shared" si="1"/>
        <v>23.25</v>
      </c>
      <c r="G70" s="49"/>
      <c r="H70" s="49">
        <f>(G65*7)</f>
        <v>700</v>
      </c>
      <c r="I70" s="74">
        <f>H70*52/E22</f>
        <v>20</v>
      </c>
      <c r="J70" s="657"/>
    </row>
    <row r="71" spans="2:10" ht="18.600000000000001" thickBot="1" x14ac:dyDescent="0.35">
      <c r="B71" s="2"/>
      <c r="C71" s="6"/>
      <c r="D71" s="6"/>
      <c r="E71" s="6"/>
      <c r="F71" s="6"/>
      <c r="G71" s="50"/>
      <c r="H71" s="30"/>
      <c r="I71" s="75"/>
      <c r="J71" s="80"/>
    </row>
    <row r="72" spans="2:10" ht="18" x14ac:dyDescent="0.3">
      <c r="B72" s="1" t="s">
        <v>11</v>
      </c>
      <c r="C72" s="7"/>
      <c r="D72" s="7"/>
      <c r="E72" s="7"/>
      <c r="F72" s="7"/>
      <c r="G72" s="51"/>
      <c r="H72" s="51"/>
      <c r="I72" s="76"/>
      <c r="J72" s="79"/>
    </row>
    <row r="73" spans="2:10" ht="18.600000000000001" thickBot="1" x14ac:dyDescent="0.35">
      <c r="B73" s="8"/>
      <c r="C73" s="9" t="s">
        <v>12</v>
      </c>
      <c r="D73" s="9">
        <v>2</v>
      </c>
      <c r="E73" s="9">
        <v>10</v>
      </c>
      <c r="F73" s="9">
        <f>D73*E73</f>
        <v>20</v>
      </c>
      <c r="G73" s="52">
        <f>F73</f>
        <v>20</v>
      </c>
      <c r="H73" s="52">
        <f>G73*7</f>
        <v>140</v>
      </c>
      <c r="I73" s="73">
        <f>H73*52/E23</f>
        <v>4.3076923076923075</v>
      </c>
      <c r="J73" s="73">
        <f>E57*2</f>
        <v>4</v>
      </c>
    </row>
    <row r="74" spans="2:10" ht="15" thickBot="1" x14ac:dyDescent="0.35">
      <c r="H74" s="53" t="s">
        <v>21</v>
      </c>
      <c r="I74" s="54">
        <f>I70+I73</f>
        <v>24.307692307692307</v>
      </c>
    </row>
    <row r="80" spans="2:10" ht="15" thickBot="1" x14ac:dyDescent="0.35"/>
    <row r="81" spans="2:17" ht="18.600000000000001" thickBot="1" x14ac:dyDescent="0.35">
      <c r="C81" s="82" t="s">
        <v>29</v>
      </c>
      <c r="D81" s="83"/>
      <c r="E81" s="84"/>
      <c r="F81" s="84"/>
      <c r="G81" s="84"/>
      <c r="H81" s="85"/>
      <c r="L81" s="159" t="s">
        <v>66</v>
      </c>
      <c r="M81" s="160"/>
      <c r="N81" s="161"/>
      <c r="O81" s="161"/>
      <c r="P81" s="161"/>
      <c r="Q81" s="162"/>
    </row>
    <row r="82" spans="2:17" ht="18" x14ac:dyDescent="0.3">
      <c r="B82" s="86" t="s">
        <v>30</v>
      </c>
      <c r="C82" s="87">
        <f>G82+G84+G86+G88+G90+G92+G94+G96+G98+G100+G102+G104+G110+G106+G108</f>
        <v>15</v>
      </c>
      <c r="D82" s="88" t="s">
        <v>31</v>
      </c>
      <c r="E82" s="89">
        <v>1</v>
      </c>
      <c r="F82" s="90" t="s">
        <v>32</v>
      </c>
      <c r="G82" s="91">
        <v>1</v>
      </c>
      <c r="H82" s="92">
        <v>1</v>
      </c>
      <c r="K82" s="86" t="s">
        <v>30</v>
      </c>
      <c r="L82" s="87">
        <f>P82+P84+P86+P90+P88</f>
        <v>5</v>
      </c>
      <c r="M82" s="116" t="s">
        <v>67</v>
      </c>
      <c r="N82" s="89">
        <v>1</v>
      </c>
      <c r="O82" s="90" t="s">
        <v>68</v>
      </c>
      <c r="P82" s="91">
        <v>1</v>
      </c>
      <c r="Q82" s="163">
        <v>1</v>
      </c>
    </row>
    <row r="83" spans="2:17" ht="18.600000000000001" thickBot="1" x14ac:dyDescent="0.35">
      <c r="B83" s="93" t="s">
        <v>33</v>
      </c>
      <c r="C83" s="94">
        <f>H82+H84+H86+H88+H90+H92+H94+H96+H98+H100+H102+H104+H110+H106+H108</f>
        <v>14.3</v>
      </c>
      <c r="D83" s="95"/>
      <c r="E83" s="96"/>
      <c r="F83" s="97"/>
      <c r="G83" s="98"/>
      <c r="H83" s="99"/>
      <c r="K83" s="93" t="s">
        <v>33</v>
      </c>
      <c r="L83" s="94">
        <f>Q82+Q84+Q86+Q90+Q88</f>
        <v>5</v>
      </c>
      <c r="M83" s="95"/>
      <c r="N83" s="103"/>
      <c r="O83" s="97"/>
      <c r="P83" s="98"/>
      <c r="Q83" s="164"/>
    </row>
    <row r="84" spans="2:17" ht="18" x14ac:dyDescent="0.3">
      <c r="D84" s="100" t="s">
        <v>31</v>
      </c>
      <c r="E84" s="96">
        <v>2</v>
      </c>
      <c r="F84" s="97" t="s">
        <v>34</v>
      </c>
      <c r="G84" s="98">
        <v>1</v>
      </c>
      <c r="H84" s="99">
        <v>1</v>
      </c>
      <c r="M84" s="106" t="s">
        <v>67</v>
      </c>
      <c r="N84" s="103">
        <v>2</v>
      </c>
      <c r="O84" s="97" t="s">
        <v>69</v>
      </c>
      <c r="P84" s="98">
        <v>1</v>
      </c>
      <c r="Q84" s="164">
        <v>1</v>
      </c>
    </row>
    <row r="85" spans="2:17" ht="18" x14ac:dyDescent="0.3">
      <c r="D85" s="95"/>
      <c r="E85" s="96"/>
      <c r="F85" s="101"/>
      <c r="G85" s="102"/>
      <c r="H85" s="99"/>
      <c r="M85" s="95"/>
      <c r="N85" s="103"/>
      <c r="O85" s="97"/>
      <c r="P85" s="98"/>
      <c r="Q85" s="164"/>
    </row>
    <row r="86" spans="2:17" ht="18" x14ac:dyDescent="0.3">
      <c r="D86" s="100" t="s">
        <v>31</v>
      </c>
      <c r="E86" s="103">
        <v>3</v>
      </c>
      <c r="F86" s="101" t="s">
        <v>35</v>
      </c>
      <c r="G86" s="102">
        <v>1</v>
      </c>
      <c r="H86" s="99">
        <v>1</v>
      </c>
      <c r="M86" s="106" t="s">
        <v>67</v>
      </c>
      <c r="N86" s="103">
        <v>3</v>
      </c>
      <c r="O86" s="97" t="s">
        <v>70</v>
      </c>
      <c r="P86" s="98">
        <v>1</v>
      </c>
      <c r="Q86" s="164">
        <v>1</v>
      </c>
    </row>
    <row r="87" spans="2:17" ht="18" x14ac:dyDescent="0.3">
      <c r="D87" s="95"/>
      <c r="E87" s="103"/>
      <c r="F87" s="101"/>
      <c r="G87" s="102"/>
      <c r="H87" s="99"/>
      <c r="M87" s="95"/>
      <c r="N87" s="103"/>
      <c r="O87" s="97"/>
      <c r="P87" s="98"/>
      <c r="Q87" s="164"/>
    </row>
    <row r="88" spans="2:17" ht="18" x14ac:dyDescent="0.3">
      <c r="D88" s="100" t="s">
        <v>31</v>
      </c>
      <c r="E88" s="103">
        <v>4</v>
      </c>
      <c r="F88" s="97" t="s">
        <v>36</v>
      </c>
      <c r="G88" s="102">
        <v>1</v>
      </c>
      <c r="H88" s="99">
        <v>1</v>
      </c>
      <c r="M88" s="106" t="s">
        <v>71</v>
      </c>
      <c r="N88" s="103">
        <v>11</v>
      </c>
      <c r="O88" s="97" t="s">
        <v>72</v>
      </c>
      <c r="P88" s="102">
        <v>1</v>
      </c>
      <c r="Q88" s="99">
        <v>1</v>
      </c>
    </row>
    <row r="89" spans="2:17" ht="18" x14ac:dyDescent="0.3">
      <c r="D89" s="95"/>
      <c r="E89" s="96"/>
      <c r="F89" s="101"/>
      <c r="G89" s="102"/>
      <c r="H89" s="104"/>
      <c r="M89" s="95"/>
      <c r="N89" s="96"/>
      <c r="O89" s="101"/>
      <c r="P89" s="102"/>
      <c r="Q89" s="104"/>
    </row>
    <row r="90" spans="2:17" ht="18" x14ac:dyDescent="0.3">
      <c r="D90" s="100" t="s">
        <v>31</v>
      </c>
      <c r="E90" s="103">
        <v>5</v>
      </c>
      <c r="F90" s="97" t="s">
        <v>37</v>
      </c>
      <c r="G90" s="102">
        <v>1</v>
      </c>
      <c r="H90" s="99">
        <v>1</v>
      </c>
      <c r="M90" s="124" t="s">
        <v>73</v>
      </c>
      <c r="N90" s="96">
        <v>4</v>
      </c>
      <c r="O90" s="101" t="s">
        <v>74</v>
      </c>
      <c r="P90" s="102">
        <v>1</v>
      </c>
      <c r="Q90" s="165">
        <v>1</v>
      </c>
    </row>
    <row r="91" spans="2:17" ht="18" x14ac:dyDescent="0.3">
      <c r="D91" s="95"/>
      <c r="E91" s="96"/>
      <c r="F91" s="97"/>
      <c r="G91" s="98"/>
      <c r="H91" s="99"/>
    </row>
    <row r="92" spans="2:17" ht="18" x14ac:dyDescent="0.3">
      <c r="D92" s="100" t="s">
        <v>31</v>
      </c>
      <c r="E92" s="96">
        <v>6</v>
      </c>
      <c r="F92" s="97" t="s">
        <v>38</v>
      </c>
      <c r="G92" s="102">
        <v>1</v>
      </c>
      <c r="H92" s="99">
        <v>1</v>
      </c>
    </row>
    <row r="93" spans="2:17" ht="18" x14ac:dyDescent="0.3">
      <c r="D93" s="95"/>
      <c r="E93" s="96"/>
      <c r="F93" s="101"/>
      <c r="G93" s="102"/>
      <c r="H93" s="99"/>
    </row>
    <row r="94" spans="2:17" ht="18" x14ac:dyDescent="0.3">
      <c r="D94" s="100" t="s">
        <v>31</v>
      </c>
      <c r="E94" s="103">
        <v>7</v>
      </c>
      <c r="F94" s="101" t="s">
        <v>39</v>
      </c>
      <c r="G94" s="102">
        <v>1</v>
      </c>
      <c r="H94" s="99">
        <v>1</v>
      </c>
    </row>
    <row r="95" spans="2:17" ht="18" x14ac:dyDescent="0.3">
      <c r="D95" s="95"/>
      <c r="E95" s="103"/>
      <c r="F95" s="101"/>
      <c r="G95" s="102"/>
      <c r="H95" s="99"/>
    </row>
    <row r="96" spans="2:17" ht="18" x14ac:dyDescent="0.3">
      <c r="C96" s="105"/>
      <c r="D96" s="100" t="s">
        <v>31</v>
      </c>
      <c r="E96" s="103">
        <v>8</v>
      </c>
      <c r="F96" s="97" t="s">
        <v>40</v>
      </c>
      <c r="G96" s="102">
        <v>1</v>
      </c>
      <c r="H96" s="99">
        <v>1</v>
      </c>
    </row>
    <row r="97" spans="3:8" ht="18" x14ac:dyDescent="0.3">
      <c r="D97" s="95"/>
      <c r="E97" s="96"/>
      <c r="F97" s="101"/>
      <c r="G97" s="102"/>
      <c r="H97" s="104"/>
    </row>
    <row r="98" spans="3:8" ht="18" x14ac:dyDescent="0.3">
      <c r="D98" s="100" t="s">
        <v>41</v>
      </c>
      <c r="E98" s="103">
        <v>9</v>
      </c>
      <c r="F98" s="97" t="s">
        <v>42</v>
      </c>
      <c r="G98" s="98">
        <v>1</v>
      </c>
      <c r="H98" s="99">
        <v>1</v>
      </c>
    </row>
    <row r="99" spans="3:8" ht="18" x14ac:dyDescent="0.3">
      <c r="D99" s="95"/>
      <c r="E99" s="96"/>
      <c r="F99" s="101"/>
      <c r="G99" s="102"/>
      <c r="H99" s="99"/>
    </row>
    <row r="100" spans="3:8" ht="18" x14ac:dyDescent="0.3">
      <c r="D100" s="100" t="s">
        <v>41</v>
      </c>
      <c r="E100" s="103">
        <v>10</v>
      </c>
      <c r="F100" s="101" t="s">
        <v>43</v>
      </c>
      <c r="G100" s="102">
        <v>1</v>
      </c>
      <c r="H100" s="99">
        <v>1</v>
      </c>
    </row>
    <row r="101" spans="3:8" ht="18" x14ac:dyDescent="0.3">
      <c r="D101" s="95"/>
      <c r="E101" s="103"/>
      <c r="F101" s="101"/>
      <c r="G101" s="102"/>
      <c r="H101" s="99"/>
    </row>
    <row r="102" spans="3:8" ht="18" x14ac:dyDescent="0.3">
      <c r="D102" s="100" t="s">
        <v>31</v>
      </c>
      <c r="E102" s="103">
        <v>11</v>
      </c>
      <c r="F102" s="97" t="s">
        <v>44</v>
      </c>
      <c r="G102" s="98">
        <v>1</v>
      </c>
      <c r="H102" s="99">
        <v>0.8</v>
      </c>
    </row>
    <row r="103" spans="3:8" ht="18" x14ac:dyDescent="0.3">
      <c r="D103" s="95"/>
      <c r="E103" s="103"/>
      <c r="F103" s="101"/>
      <c r="G103" s="102"/>
      <c r="H103" s="99"/>
    </row>
    <row r="104" spans="3:8" ht="18" x14ac:dyDescent="0.3">
      <c r="D104" s="100" t="s">
        <v>31</v>
      </c>
      <c r="E104" s="103">
        <v>12</v>
      </c>
      <c r="F104" s="97" t="s">
        <v>45</v>
      </c>
      <c r="G104" s="103">
        <v>1</v>
      </c>
      <c r="H104" s="99">
        <v>0.8</v>
      </c>
    </row>
    <row r="105" spans="3:8" ht="18" x14ac:dyDescent="0.3">
      <c r="D105" s="95"/>
      <c r="E105" s="96"/>
      <c r="F105" s="101"/>
      <c r="G105" s="102"/>
      <c r="H105" s="104"/>
    </row>
    <row r="106" spans="3:8" ht="18" x14ac:dyDescent="0.3">
      <c r="D106" s="100" t="s">
        <v>50</v>
      </c>
      <c r="E106" s="103">
        <v>13</v>
      </c>
      <c r="F106" s="97" t="s">
        <v>46</v>
      </c>
      <c r="G106" s="102">
        <v>1</v>
      </c>
      <c r="H106" s="99">
        <v>0.7</v>
      </c>
    </row>
    <row r="107" spans="3:8" ht="18" x14ac:dyDescent="0.3">
      <c r="D107" s="95"/>
      <c r="E107" s="96"/>
      <c r="F107" s="101"/>
      <c r="G107" s="102"/>
      <c r="H107" s="104"/>
    </row>
    <row r="108" spans="3:8" ht="18" x14ac:dyDescent="0.3">
      <c r="D108" s="106" t="s">
        <v>47</v>
      </c>
      <c r="E108" s="103">
        <v>14</v>
      </c>
      <c r="F108" s="97" t="s">
        <v>48</v>
      </c>
      <c r="G108" s="103">
        <v>1</v>
      </c>
      <c r="H108" s="99">
        <v>1</v>
      </c>
    </row>
    <row r="109" spans="3:8" ht="18" x14ac:dyDescent="0.3">
      <c r="D109" s="95"/>
      <c r="E109" s="96"/>
      <c r="F109" s="101"/>
      <c r="G109" s="102"/>
      <c r="H109" s="104"/>
    </row>
    <row r="110" spans="3:8" ht="18" x14ac:dyDescent="0.3">
      <c r="C110" s="105"/>
      <c r="D110" s="106" t="s">
        <v>47</v>
      </c>
      <c r="E110" s="103">
        <v>15</v>
      </c>
      <c r="F110" s="97" t="s">
        <v>49</v>
      </c>
      <c r="G110" s="103">
        <v>1</v>
      </c>
      <c r="H110" s="99">
        <v>1</v>
      </c>
    </row>
    <row r="111" spans="3:8" ht="18.600000000000001" thickBot="1" x14ac:dyDescent="0.35">
      <c r="C111" s="105"/>
      <c r="D111" s="107"/>
      <c r="E111" s="108"/>
      <c r="F111" s="109"/>
      <c r="G111" s="110"/>
      <c r="H111" s="111"/>
    </row>
    <row r="112" spans="3:8" ht="15" thickBot="1" x14ac:dyDescent="0.35"/>
    <row r="113" spans="2:8" ht="18.600000000000001" thickBot="1" x14ac:dyDescent="0.35">
      <c r="C113" s="112" t="s">
        <v>51</v>
      </c>
      <c r="D113" s="113"/>
      <c r="E113" s="114"/>
      <c r="F113" s="114"/>
      <c r="G113" s="114"/>
      <c r="H113" s="115"/>
    </row>
    <row r="114" spans="2:8" ht="18" x14ac:dyDescent="0.3">
      <c r="B114" s="86" t="s">
        <v>30</v>
      </c>
      <c r="C114" s="87">
        <f>G114+G116+G118+G120+G122+G124+G130+G126+G128</f>
        <v>9</v>
      </c>
      <c r="D114" s="88" t="s">
        <v>31</v>
      </c>
      <c r="E114" s="89">
        <v>1</v>
      </c>
      <c r="F114" s="90" t="s">
        <v>52</v>
      </c>
      <c r="G114" s="91">
        <v>1</v>
      </c>
      <c r="H114" s="92">
        <v>1</v>
      </c>
    </row>
    <row r="115" spans="2:8" ht="18.600000000000001" thickBot="1" x14ac:dyDescent="0.35">
      <c r="B115" s="93" t="s">
        <v>33</v>
      </c>
      <c r="C115" s="94">
        <f>H114+H116+H118+H120+H122+H124+H130+H126+H128</f>
        <v>9</v>
      </c>
      <c r="D115" s="95"/>
      <c r="E115" s="96"/>
      <c r="F115" s="97"/>
      <c r="G115" s="98"/>
      <c r="H115" s="99"/>
    </row>
    <row r="116" spans="2:8" ht="18" x14ac:dyDescent="0.3">
      <c r="D116" s="100" t="s">
        <v>31</v>
      </c>
      <c r="E116" s="96">
        <v>2</v>
      </c>
      <c r="F116" s="97" t="s">
        <v>53</v>
      </c>
      <c r="G116" s="98">
        <v>1</v>
      </c>
      <c r="H116" s="99">
        <v>1</v>
      </c>
    </row>
    <row r="117" spans="2:8" ht="18" x14ac:dyDescent="0.3">
      <c r="D117" s="95"/>
      <c r="E117" s="96"/>
      <c r="F117" s="101"/>
      <c r="G117" s="102"/>
      <c r="H117" s="99"/>
    </row>
    <row r="118" spans="2:8" ht="18" x14ac:dyDescent="0.3">
      <c r="D118" s="100" t="s">
        <v>41</v>
      </c>
      <c r="E118" s="103">
        <v>3</v>
      </c>
      <c r="F118" s="101" t="s">
        <v>54</v>
      </c>
      <c r="G118" s="102">
        <v>1</v>
      </c>
      <c r="H118" s="99">
        <v>1</v>
      </c>
    </row>
    <row r="119" spans="2:8" ht="18" x14ac:dyDescent="0.3">
      <c r="D119" s="95"/>
      <c r="E119" s="103"/>
      <c r="F119" s="101"/>
      <c r="G119" s="102"/>
      <c r="H119" s="99"/>
    </row>
    <row r="120" spans="2:8" ht="18" x14ac:dyDescent="0.3">
      <c r="D120" s="100" t="s">
        <v>41</v>
      </c>
      <c r="E120" s="103">
        <v>4</v>
      </c>
      <c r="F120" s="97" t="s">
        <v>55</v>
      </c>
      <c r="G120" s="102">
        <v>1</v>
      </c>
      <c r="H120" s="99">
        <v>1</v>
      </c>
    </row>
    <row r="121" spans="2:8" ht="18" x14ac:dyDescent="0.3">
      <c r="D121" s="95"/>
      <c r="E121" s="96"/>
      <c r="F121" s="101"/>
      <c r="G121" s="102"/>
      <c r="H121" s="104"/>
    </row>
    <row r="122" spans="2:8" ht="18" x14ac:dyDescent="0.3">
      <c r="D122" s="100" t="s">
        <v>41</v>
      </c>
      <c r="E122" s="103">
        <v>5</v>
      </c>
      <c r="F122" s="97" t="s">
        <v>56</v>
      </c>
      <c r="G122" s="102">
        <v>1</v>
      </c>
      <c r="H122" s="99">
        <v>1</v>
      </c>
    </row>
    <row r="123" spans="2:8" ht="18" x14ac:dyDescent="0.3">
      <c r="D123" s="95"/>
      <c r="E123" s="96"/>
      <c r="F123" s="97"/>
      <c r="G123" s="98"/>
      <c r="H123" s="99"/>
    </row>
    <row r="124" spans="2:8" ht="18" x14ac:dyDescent="0.3">
      <c r="D124" s="100" t="s">
        <v>41</v>
      </c>
      <c r="E124" s="96">
        <v>6</v>
      </c>
      <c r="F124" s="97" t="s">
        <v>57</v>
      </c>
      <c r="G124" s="102">
        <v>1</v>
      </c>
      <c r="H124" s="99">
        <v>1</v>
      </c>
    </row>
    <row r="125" spans="2:8" ht="18" x14ac:dyDescent="0.3">
      <c r="D125" s="95"/>
      <c r="E125" s="96"/>
      <c r="F125" s="101"/>
      <c r="G125" s="102"/>
      <c r="H125" s="99"/>
    </row>
    <row r="126" spans="2:8" ht="18" x14ac:dyDescent="0.3">
      <c r="D126" s="100" t="s">
        <v>41</v>
      </c>
      <c r="E126" s="103">
        <v>7</v>
      </c>
      <c r="F126" s="101" t="s">
        <v>58</v>
      </c>
      <c r="G126" s="102">
        <v>1</v>
      </c>
      <c r="H126" s="99">
        <v>1</v>
      </c>
    </row>
    <row r="127" spans="2:8" ht="18" x14ac:dyDescent="0.3">
      <c r="D127" s="95"/>
      <c r="E127" s="103"/>
      <c r="F127" s="101"/>
      <c r="G127" s="102"/>
      <c r="H127" s="99"/>
    </row>
    <row r="128" spans="2:8" ht="18" x14ac:dyDescent="0.3">
      <c r="D128" s="106" t="s">
        <v>47</v>
      </c>
      <c r="E128" s="103">
        <v>8</v>
      </c>
      <c r="F128" s="97" t="s">
        <v>59</v>
      </c>
      <c r="G128" s="98">
        <v>1</v>
      </c>
      <c r="H128" s="99">
        <v>1</v>
      </c>
    </row>
    <row r="129" spans="3:8" ht="18" x14ac:dyDescent="0.3">
      <c r="D129" s="117"/>
      <c r="E129" s="96"/>
      <c r="F129" s="101"/>
      <c r="G129" s="102"/>
      <c r="H129" s="104"/>
    </row>
    <row r="130" spans="3:8" ht="18" x14ac:dyDescent="0.3">
      <c r="D130" s="106" t="s">
        <v>47</v>
      </c>
      <c r="E130" s="103">
        <v>9</v>
      </c>
      <c r="F130" s="97" t="s">
        <v>60</v>
      </c>
      <c r="G130" s="98">
        <v>1</v>
      </c>
      <c r="H130" s="99">
        <v>1</v>
      </c>
    </row>
    <row r="131" spans="3:8" ht="18.600000000000001" thickBot="1" x14ac:dyDescent="0.35">
      <c r="D131" s="118"/>
      <c r="E131" s="108"/>
      <c r="F131" s="109"/>
      <c r="G131" s="110"/>
      <c r="H131" s="111"/>
    </row>
    <row r="133" spans="3:8" ht="15" thickBot="1" x14ac:dyDescent="0.35"/>
    <row r="134" spans="3:8" ht="18.600000000000001" thickBot="1" x14ac:dyDescent="0.35">
      <c r="C134" s="82" t="s">
        <v>29</v>
      </c>
      <c r="D134" s="119"/>
      <c r="E134" s="123"/>
      <c r="F134" s="123"/>
      <c r="G134" s="84"/>
      <c r="H134" s="85"/>
    </row>
    <row r="135" spans="3:8" s="105" customFormat="1" ht="18.600000000000001" thickBot="1" x14ac:dyDescent="0.35">
      <c r="D135" s="132" t="s">
        <v>61</v>
      </c>
      <c r="E135" s="128" t="s">
        <v>62</v>
      </c>
      <c r="F135" s="125" t="s">
        <v>63</v>
      </c>
      <c r="G135" s="121"/>
      <c r="H135" s="122"/>
    </row>
    <row r="136" spans="3:8" x14ac:dyDescent="0.3">
      <c r="D136" s="88" t="s">
        <v>31</v>
      </c>
      <c r="E136" s="129">
        <v>1</v>
      </c>
      <c r="F136" s="126">
        <v>8</v>
      </c>
    </row>
    <row r="137" spans="3:8" ht="15" thickBot="1" x14ac:dyDescent="0.35">
      <c r="D137" s="133"/>
      <c r="E137" s="130">
        <v>0.8</v>
      </c>
      <c r="F137" s="127">
        <v>2</v>
      </c>
    </row>
    <row r="138" spans="3:8" x14ac:dyDescent="0.3">
      <c r="D138" s="88" t="s">
        <v>41</v>
      </c>
      <c r="E138" s="129">
        <v>1</v>
      </c>
      <c r="F138" s="126">
        <v>2</v>
      </c>
    </row>
    <row r="139" spans="3:8" ht="15" thickBot="1" x14ac:dyDescent="0.35">
      <c r="D139" s="133"/>
      <c r="E139" s="130">
        <v>0.7</v>
      </c>
      <c r="F139" s="127">
        <v>1</v>
      </c>
    </row>
    <row r="140" spans="3:8" ht="15" thickBot="1" x14ac:dyDescent="0.35">
      <c r="D140" s="134" t="s">
        <v>47</v>
      </c>
      <c r="E140" s="131">
        <v>1</v>
      </c>
      <c r="F140" s="54">
        <v>2</v>
      </c>
    </row>
    <row r="141" spans="3:8" ht="15" thickBot="1" x14ac:dyDescent="0.35">
      <c r="D141" s="135" t="s">
        <v>64</v>
      </c>
      <c r="E141" s="136">
        <f>E136*F136+E137*F137+E138*F138+E139*F139+E140*F140</f>
        <v>14.299999999999999</v>
      </c>
      <c r="F141" s="137">
        <f>F136+F137+F138+F139+F140</f>
        <v>15</v>
      </c>
    </row>
    <row r="142" spans="3:8" ht="18.600000000000001" thickBot="1" x14ac:dyDescent="0.35">
      <c r="C142" s="139" t="s">
        <v>51</v>
      </c>
      <c r="D142" s="140"/>
      <c r="E142" s="141"/>
      <c r="F142" s="141"/>
      <c r="G142" s="141"/>
      <c r="H142" s="142"/>
    </row>
    <row r="143" spans="3:8" ht="15" thickBot="1" x14ac:dyDescent="0.35">
      <c r="D143" s="143" t="s">
        <v>61</v>
      </c>
      <c r="E143" s="144" t="s">
        <v>62</v>
      </c>
      <c r="F143" s="145" t="s">
        <v>63</v>
      </c>
    </row>
    <row r="144" spans="3:8" ht="15" thickBot="1" x14ac:dyDescent="0.35">
      <c r="D144" s="138" t="s">
        <v>31</v>
      </c>
      <c r="E144" s="131">
        <v>1</v>
      </c>
      <c r="F144" s="54">
        <v>2</v>
      </c>
    </row>
    <row r="145" spans="3:8" ht="15" thickBot="1" x14ac:dyDescent="0.35">
      <c r="D145" s="138" t="s">
        <v>41</v>
      </c>
      <c r="E145" s="131">
        <v>1</v>
      </c>
      <c r="F145" s="54">
        <v>5</v>
      </c>
    </row>
    <row r="146" spans="3:8" ht="15" thickBot="1" x14ac:dyDescent="0.35">
      <c r="D146" s="134" t="s">
        <v>47</v>
      </c>
      <c r="E146" s="131">
        <v>1</v>
      </c>
      <c r="F146" s="54">
        <v>2</v>
      </c>
    </row>
    <row r="147" spans="3:8" ht="15" thickBot="1" x14ac:dyDescent="0.35">
      <c r="D147" s="147" t="s">
        <v>64</v>
      </c>
      <c r="E147" s="148">
        <f>E144*F144+E145*F145+E146*F146</f>
        <v>9</v>
      </c>
      <c r="F147" s="149">
        <f>F144+F145+F146</f>
        <v>9</v>
      </c>
    </row>
    <row r="148" spans="3:8" ht="15" thickBot="1" x14ac:dyDescent="0.35">
      <c r="C148" s="150" t="s">
        <v>65</v>
      </c>
      <c r="D148" s="151"/>
      <c r="E148" s="151"/>
      <c r="F148" s="151"/>
      <c r="G148" s="151"/>
      <c r="H148" s="151"/>
    </row>
    <row r="149" spans="3:8" ht="15" thickBot="1" x14ac:dyDescent="0.35">
      <c r="C149" s="120"/>
      <c r="D149" s="155"/>
      <c r="E149" s="158" t="s">
        <v>62</v>
      </c>
      <c r="F149" s="125" t="s">
        <v>63</v>
      </c>
      <c r="G149" s="120"/>
      <c r="H149" s="120"/>
    </row>
    <row r="150" spans="3:8" ht="18.600000000000001" thickBot="1" x14ac:dyDescent="0.35">
      <c r="D150" s="157" t="s">
        <v>21</v>
      </c>
      <c r="E150" s="156">
        <f>E141+E147</f>
        <v>23.299999999999997</v>
      </c>
      <c r="F150" s="154">
        <f>F141+F147</f>
        <v>24</v>
      </c>
    </row>
    <row r="151" spans="3:8" ht="18.600000000000001" thickBot="1" x14ac:dyDescent="0.35">
      <c r="D151" s="157" t="s">
        <v>76</v>
      </c>
      <c r="E151" s="90">
        <f>I70</f>
        <v>20</v>
      </c>
      <c r="F151" s="177">
        <f>J65</f>
        <v>24</v>
      </c>
    </row>
    <row r="152" spans="3:8" ht="14.4" customHeight="1" thickBot="1" x14ac:dyDescent="0.35">
      <c r="D152" s="174" t="s">
        <v>77</v>
      </c>
      <c r="E152" s="109">
        <f>E150-E151</f>
        <v>3.2999999999999972</v>
      </c>
      <c r="F152" s="178">
        <f>F150-F151</f>
        <v>0</v>
      </c>
    </row>
    <row r="153" spans="3:8" x14ac:dyDescent="0.3">
      <c r="D153" s="190"/>
    </row>
    <row r="154" spans="3:8" ht="14.4" customHeight="1" x14ac:dyDescent="0.3"/>
    <row r="155" spans="3:8" ht="15" thickBot="1" x14ac:dyDescent="0.35"/>
    <row r="156" spans="3:8" ht="18.600000000000001" thickBot="1" x14ac:dyDescent="0.35">
      <c r="C156" s="159" t="s">
        <v>66</v>
      </c>
      <c r="D156" s="160"/>
      <c r="E156" s="161"/>
      <c r="F156" s="161"/>
      <c r="G156" s="161"/>
      <c r="H156" s="162"/>
    </row>
    <row r="157" spans="3:8" ht="15" thickBot="1" x14ac:dyDescent="0.35">
      <c r="D157" s="132" t="s">
        <v>61</v>
      </c>
      <c r="E157" s="144" t="s">
        <v>62</v>
      </c>
      <c r="F157" s="145" t="s">
        <v>63</v>
      </c>
    </row>
    <row r="158" spans="3:8" ht="15" thickBot="1" x14ac:dyDescent="0.35">
      <c r="D158" s="88" t="s">
        <v>67</v>
      </c>
      <c r="E158" s="53">
        <v>1</v>
      </c>
      <c r="F158" s="54">
        <v>3</v>
      </c>
    </row>
    <row r="159" spans="3:8" ht="15" thickBot="1" x14ac:dyDescent="0.35">
      <c r="D159" s="138" t="s">
        <v>71</v>
      </c>
      <c r="E159" s="53">
        <v>1</v>
      </c>
      <c r="F159" s="54">
        <v>1</v>
      </c>
    </row>
    <row r="160" spans="3:8" ht="15" thickBot="1" x14ac:dyDescent="0.35">
      <c r="D160" s="134" t="s">
        <v>75</v>
      </c>
      <c r="E160" s="53">
        <v>1</v>
      </c>
      <c r="F160" s="54">
        <v>1</v>
      </c>
    </row>
    <row r="161" spans="4:6" ht="18.600000000000001" thickBot="1" x14ac:dyDescent="0.35">
      <c r="D161" s="169" t="s">
        <v>21</v>
      </c>
      <c r="E161" s="152">
        <f>E158*F158+E159*F159+E160*F160</f>
        <v>5</v>
      </c>
      <c r="F161" s="154">
        <f>F158+F159+F160</f>
        <v>5</v>
      </c>
    </row>
    <row r="162" spans="4:6" ht="18.600000000000001" thickBot="1" x14ac:dyDescent="0.4">
      <c r="D162" s="157" t="s">
        <v>76</v>
      </c>
      <c r="E162" s="179">
        <f>I73</f>
        <v>4.3076923076923075</v>
      </c>
      <c r="F162" s="180">
        <f>J73</f>
        <v>4</v>
      </c>
    </row>
    <row r="163" spans="4:6" ht="18.600000000000001" thickBot="1" x14ac:dyDescent="0.4">
      <c r="D163" s="174" t="s">
        <v>77</v>
      </c>
      <c r="E163" s="181">
        <f>E161-E162</f>
        <v>0.69230769230769251</v>
      </c>
      <c r="F163" s="182">
        <f>F161-F162</f>
        <v>1</v>
      </c>
    </row>
  </sheetData>
  <mergeCells count="3">
    <mergeCell ref="E49:E54"/>
    <mergeCell ref="F49:F54"/>
    <mergeCell ref="J65:J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229"/>
  <sheetViews>
    <sheetView tabSelected="1" topLeftCell="A177" zoomScale="130" zoomScaleNormal="130" workbookViewId="0">
      <selection activeCell="G195" sqref="G195"/>
    </sheetView>
  </sheetViews>
  <sheetFormatPr baseColWidth="10" defaultRowHeight="14.4" x14ac:dyDescent="0.3"/>
  <cols>
    <col min="2" max="2" width="12.77734375" bestFit="1" customWidth="1"/>
    <col min="3" max="3" width="8.44140625" bestFit="1" customWidth="1"/>
    <col min="4" max="4" width="12.44140625" customWidth="1"/>
    <col min="5" max="5" width="14.88671875" bestFit="1" customWidth="1"/>
    <col min="6" max="6" width="16.109375" customWidth="1"/>
    <col min="7" max="7" width="14.21875" customWidth="1"/>
    <col min="8" max="8" width="11.5546875" customWidth="1"/>
    <col min="9" max="9" width="13.88671875" customWidth="1"/>
  </cols>
  <sheetData>
    <row r="2" spans="2:6" ht="31.2" x14ac:dyDescent="0.3">
      <c r="F2" s="61" t="s">
        <v>78</v>
      </c>
    </row>
    <row r="3" spans="2:6" hidden="1" x14ac:dyDescent="0.3">
      <c r="B3" t="s">
        <v>22</v>
      </c>
    </row>
    <row r="4" spans="2:6" ht="15" hidden="1" thickBot="1" x14ac:dyDescent="0.35"/>
    <row r="5" spans="2:6" ht="18.600000000000001" hidden="1" thickBot="1" x14ac:dyDescent="0.4">
      <c r="B5" s="55"/>
      <c r="C5" s="56" t="s">
        <v>0</v>
      </c>
      <c r="D5" s="56" t="s">
        <v>1</v>
      </c>
      <c r="E5" s="56" t="s">
        <v>2</v>
      </c>
    </row>
    <row r="6" spans="2:6" ht="18" hidden="1" x14ac:dyDescent="0.35">
      <c r="B6" s="15" t="s">
        <v>3</v>
      </c>
      <c r="C6" s="16"/>
      <c r="D6" s="16"/>
      <c r="E6" s="17"/>
    </row>
    <row r="7" spans="2:6" ht="18" hidden="1" x14ac:dyDescent="0.35">
      <c r="B7" s="18"/>
      <c r="C7" s="19" t="s">
        <v>5</v>
      </c>
      <c r="D7" s="20">
        <v>4</v>
      </c>
      <c r="E7" s="21">
        <v>7.75</v>
      </c>
    </row>
    <row r="8" spans="2:6" ht="18" hidden="1" x14ac:dyDescent="0.35">
      <c r="B8" s="18"/>
      <c r="C8" s="19" t="s">
        <v>6</v>
      </c>
      <c r="D8" s="20">
        <v>1</v>
      </c>
      <c r="E8" s="21">
        <v>7.75</v>
      </c>
    </row>
    <row r="9" spans="2:6" ht="18" hidden="1" x14ac:dyDescent="0.35">
      <c r="B9" s="18"/>
      <c r="C9" s="19" t="s">
        <v>7</v>
      </c>
      <c r="D9" s="20">
        <v>2</v>
      </c>
      <c r="E9" s="21">
        <v>9.5</v>
      </c>
    </row>
    <row r="10" spans="2:6" ht="18" hidden="1" x14ac:dyDescent="0.35">
      <c r="B10" s="18"/>
      <c r="C10" s="19" t="s">
        <v>8</v>
      </c>
      <c r="D10" s="20">
        <v>2</v>
      </c>
      <c r="E10" s="21">
        <v>9.5</v>
      </c>
    </row>
    <row r="11" spans="2:6" ht="18" hidden="1" x14ac:dyDescent="0.35">
      <c r="B11" s="18"/>
      <c r="C11" s="19" t="s">
        <v>9</v>
      </c>
      <c r="D11" s="20">
        <v>0</v>
      </c>
      <c r="E11" s="21">
        <v>0</v>
      </c>
    </row>
    <row r="12" spans="2:6" ht="18" hidden="1" x14ac:dyDescent="0.35">
      <c r="B12" s="22"/>
      <c r="C12" s="19" t="s">
        <v>10</v>
      </c>
      <c r="D12" s="20">
        <v>3</v>
      </c>
      <c r="E12" s="21">
        <v>7.75</v>
      </c>
    </row>
    <row r="13" spans="2:6" ht="18.600000000000001" hidden="1" thickBot="1" x14ac:dyDescent="0.4">
      <c r="B13" s="18"/>
      <c r="C13" s="23"/>
      <c r="D13" s="23"/>
      <c r="E13" s="24"/>
    </row>
    <row r="14" spans="2:6" ht="18" hidden="1" x14ac:dyDescent="0.35">
      <c r="B14" s="15" t="s">
        <v>11</v>
      </c>
      <c r="C14" s="25"/>
      <c r="D14" s="25"/>
      <c r="E14" s="26"/>
    </row>
    <row r="15" spans="2:6" ht="18.600000000000001" hidden="1" thickBot="1" x14ac:dyDescent="0.4">
      <c r="B15" s="27"/>
      <c r="C15" s="28" t="s">
        <v>12</v>
      </c>
      <c r="D15" s="28">
        <v>2</v>
      </c>
      <c r="E15" s="29">
        <v>10</v>
      </c>
    </row>
    <row r="16" spans="2:6" hidden="1" x14ac:dyDescent="0.3"/>
    <row r="17" spans="2:9" hidden="1" x14ac:dyDescent="0.3"/>
    <row r="18" spans="2:9" hidden="1" x14ac:dyDescent="0.3"/>
    <row r="19" spans="2:9" ht="15" hidden="1" thickBot="1" x14ac:dyDescent="0.35"/>
    <row r="20" spans="2:9" hidden="1" x14ac:dyDescent="0.3">
      <c r="B20" s="31"/>
      <c r="C20" s="32"/>
      <c r="D20" s="32"/>
      <c r="E20" s="33" t="s">
        <v>14</v>
      </c>
      <c r="F20" s="34" t="s">
        <v>4</v>
      </c>
    </row>
    <row r="21" spans="2:9" hidden="1" x14ac:dyDescent="0.3">
      <c r="B21" s="35" t="s">
        <v>25</v>
      </c>
      <c r="C21" s="36"/>
      <c r="D21" s="36"/>
      <c r="E21" s="37">
        <v>1820</v>
      </c>
      <c r="F21" s="38">
        <f>E21/365*7</f>
        <v>34.904109589041099</v>
      </c>
    </row>
    <row r="22" spans="2:9" ht="15" hidden="1" thickBot="1" x14ac:dyDescent="0.35">
      <c r="B22" s="39" t="s">
        <v>26</v>
      </c>
      <c r="C22" s="40"/>
      <c r="D22" s="40"/>
      <c r="E22" s="41">
        <v>1690</v>
      </c>
      <c r="F22" s="42">
        <f>E22/365*7</f>
        <v>32.410958904109592</v>
      </c>
    </row>
    <row r="23" spans="2:9" hidden="1" x14ac:dyDescent="0.3"/>
    <row r="24" spans="2:9" hidden="1" x14ac:dyDescent="0.3"/>
    <row r="25" spans="2:9" ht="15" hidden="1" thickBot="1" x14ac:dyDescent="0.35"/>
    <row r="26" spans="2:9" ht="15" hidden="1" thickBot="1" x14ac:dyDescent="0.35">
      <c r="C26" s="57" t="s">
        <v>0</v>
      </c>
      <c r="D26" s="57" t="s">
        <v>1</v>
      </c>
      <c r="E26" s="57" t="s">
        <v>2</v>
      </c>
      <c r="F26" s="57" t="s">
        <v>17</v>
      </c>
      <c r="G26" s="58" t="s">
        <v>18</v>
      </c>
      <c r="H26" s="59" t="s">
        <v>19</v>
      </c>
      <c r="I26" s="60" t="s">
        <v>20</v>
      </c>
    </row>
    <row r="27" spans="2:9" hidden="1" x14ac:dyDescent="0.3">
      <c r="B27" s="1" t="s">
        <v>3</v>
      </c>
      <c r="F27" s="12"/>
      <c r="G27" s="46"/>
      <c r="I27" s="47"/>
    </row>
    <row r="28" spans="2:9" ht="18" hidden="1" x14ac:dyDescent="0.35">
      <c r="B28" s="18" t="s">
        <v>13</v>
      </c>
      <c r="C28" s="3" t="s">
        <v>5</v>
      </c>
      <c r="D28" s="4">
        <v>4</v>
      </c>
      <c r="E28" s="4">
        <v>7.75</v>
      </c>
      <c r="F28" s="13">
        <f>D28*E28</f>
        <v>31</v>
      </c>
      <c r="G28" s="48">
        <f>F28+F29+F30+F31+F32+F33</f>
        <v>100</v>
      </c>
      <c r="H28" s="12"/>
      <c r="I28" s="47"/>
    </row>
    <row r="29" spans="2:9" hidden="1" x14ac:dyDescent="0.3">
      <c r="B29" s="2"/>
      <c r="C29" s="3" t="s">
        <v>6</v>
      </c>
      <c r="D29" s="4">
        <v>1</v>
      </c>
      <c r="E29" s="4">
        <v>7.75</v>
      </c>
      <c r="F29" s="13">
        <v>7.75</v>
      </c>
      <c r="G29" s="48"/>
      <c r="H29" s="12"/>
      <c r="I29" s="47"/>
    </row>
    <row r="30" spans="2:9" hidden="1" x14ac:dyDescent="0.3">
      <c r="B30" s="2"/>
      <c r="C30" s="3" t="s">
        <v>7</v>
      </c>
      <c r="D30" s="4">
        <v>2</v>
      </c>
      <c r="E30" s="4">
        <v>9.5</v>
      </c>
      <c r="F30" s="13">
        <f t="shared" ref="F30:F33" si="0">D30*E30</f>
        <v>19</v>
      </c>
      <c r="G30" s="48"/>
      <c r="H30" s="12"/>
      <c r="I30" s="47"/>
    </row>
    <row r="31" spans="2:9" hidden="1" x14ac:dyDescent="0.3">
      <c r="B31" s="2"/>
      <c r="C31" s="3" t="s">
        <v>8</v>
      </c>
      <c r="D31" s="4">
        <v>2</v>
      </c>
      <c r="E31" s="4">
        <v>9.5</v>
      </c>
      <c r="F31" s="13">
        <f t="shared" si="0"/>
        <v>19</v>
      </c>
      <c r="G31" s="48"/>
      <c r="H31" s="12"/>
      <c r="I31" s="47"/>
    </row>
    <row r="32" spans="2:9" hidden="1" x14ac:dyDescent="0.3">
      <c r="B32" s="2"/>
      <c r="C32" s="3" t="s">
        <v>9</v>
      </c>
      <c r="D32" s="4">
        <v>0</v>
      </c>
      <c r="E32" s="4">
        <v>0</v>
      </c>
      <c r="F32" s="13">
        <f t="shared" si="0"/>
        <v>0</v>
      </c>
      <c r="G32" s="48"/>
      <c r="H32" s="12"/>
      <c r="I32" s="47"/>
    </row>
    <row r="33" spans="2:9" ht="18" hidden="1" x14ac:dyDescent="0.3">
      <c r="B33" s="5"/>
      <c r="C33" s="3" t="s">
        <v>10</v>
      </c>
      <c r="D33" s="4">
        <v>3</v>
      </c>
      <c r="E33" s="4">
        <v>7.75</v>
      </c>
      <c r="F33" s="13">
        <f t="shared" si="0"/>
        <v>23.25</v>
      </c>
      <c r="G33" s="49"/>
      <c r="H33" s="49">
        <f>(G28*7)</f>
        <v>700</v>
      </c>
      <c r="I33" s="74">
        <f>H33*52/E21</f>
        <v>20</v>
      </c>
    </row>
    <row r="34" spans="2:9" ht="18.600000000000001" hidden="1" thickBot="1" x14ac:dyDescent="0.35">
      <c r="B34" s="2"/>
      <c r="C34" s="6"/>
      <c r="D34" s="6"/>
      <c r="E34" s="6"/>
      <c r="F34" s="6"/>
      <c r="G34" s="50"/>
      <c r="H34" s="30"/>
      <c r="I34" s="75"/>
    </row>
    <row r="35" spans="2:9" ht="18" hidden="1" x14ac:dyDescent="0.3">
      <c r="B35" s="1" t="s">
        <v>11</v>
      </c>
      <c r="C35" s="7"/>
      <c r="D35" s="7"/>
      <c r="E35" s="7"/>
      <c r="F35" s="7"/>
      <c r="G35" s="51"/>
      <c r="H35" s="51"/>
      <c r="I35" s="76"/>
    </row>
    <row r="36" spans="2:9" ht="18.600000000000001" hidden="1" thickBot="1" x14ac:dyDescent="0.35">
      <c r="B36" s="8"/>
      <c r="C36" s="9" t="s">
        <v>12</v>
      </c>
      <c r="D36" s="9">
        <v>2</v>
      </c>
      <c r="E36" s="9">
        <v>10</v>
      </c>
      <c r="F36" s="9">
        <f>D36*E36</f>
        <v>20</v>
      </c>
      <c r="G36" s="52">
        <f>F36</f>
        <v>20</v>
      </c>
      <c r="H36" s="52">
        <f>G36*7</f>
        <v>140</v>
      </c>
      <c r="I36" s="73">
        <f>H36*52/E22</f>
        <v>4.3076923076923075</v>
      </c>
    </row>
    <row r="37" spans="2:9" ht="15" hidden="1" thickBot="1" x14ac:dyDescent="0.35">
      <c r="H37" s="53" t="s">
        <v>21</v>
      </c>
      <c r="I37" s="54">
        <f>I33+I36</f>
        <v>24.307692307692307</v>
      </c>
    </row>
    <row r="38" spans="2:9" hidden="1" x14ac:dyDescent="0.3"/>
    <row r="39" spans="2:9" hidden="1" x14ac:dyDescent="0.3"/>
    <row r="40" spans="2:9" hidden="1" x14ac:dyDescent="0.3"/>
    <row r="41" spans="2:9" hidden="1" x14ac:dyDescent="0.3"/>
    <row r="42" spans="2:9" hidden="1" x14ac:dyDescent="0.3"/>
    <row r="43" spans="2:9" hidden="1" x14ac:dyDescent="0.3"/>
    <row r="44" spans="2:9" hidden="1" x14ac:dyDescent="0.3">
      <c r="B44" t="s">
        <v>22</v>
      </c>
    </row>
    <row r="45" spans="2:9" ht="15" hidden="1" thickBot="1" x14ac:dyDescent="0.35"/>
    <row r="46" spans="2:9" ht="48" hidden="1" thickBot="1" x14ac:dyDescent="0.4">
      <c r="B46" s="55"/>
      <c r="C46" s="56" t="s">
        <v>0</v>
      </c>
      <c r="D46" s="56" t="s">
        <v>1</v>
      </c>
      <c r="E46" s="77" t="s">
        <v>27</v>
      </c>
      <c r="F46" s="78" t="s">
        <v>28</v>
      </c>
    </row>
    <row r="47" spans="2:9" ht="18" hidden="1" x14ac:dyDescent="0.35">
      <c r="B47" s="15" t="s">
        <v>3</v>
      </c>
      <c r="C47" s="16"/>
      <c r="D47" s="16"/>
      <c r="E47" s="16"/>
      <c r="F47" s="46"/>
    </row>
    <row r="48" spans="2:9" ht="18" hidden="1" x14ac:dyDescent="0.35">
      <c r="B48" s="18"/>
      <c r="C48" s="19" t="s">
        <v>5</v>
      </c>
      <c r="D48" s="20">
        <v>4</v>
      </c>
      <c r="E48" s="673">
        <f>D48+D49+D50+D51+D52+D53</f>
        <v>12</v>
      </c>
      <c r="F48" s="652">
        <f>E48*2</f>
        <v>24</v>
      </c>
    </row>
    <row r="49" spans="2:10" ht="18" hidden="1" x14ac:dyDescent="0.35">
      <c r="B49" s="18"/>
      <c r="C49" s="19" t="s">
        <v>6</v>
      </c>
      <c r="D49" s="20">
        <v>1</v>
      </c>
      <c r="E49" s="674"/>
      <c r="F49" s="653"/>
    </row>
    <row r="50" spans="2:10" ht="18" hidden="1" x14ac:dyDescent="0.35">
      <c r="B50" s="18"/>
      <c r="C50" s="19" t="s">
        <v>7</v>
      </c>
      <c r="D50" s="20">
        <v>2</v>
      </c>
      <c r="E50" s="674"/>
      <c r="F50" s="653"/>
    </row>
    <row r="51" spans="2:10" ht="18" hidden="1" x14ac:dyDescent="0.35">
      <c r="B51" s="18"/>
      <c r="C51" s="19" t="s">
        <v>8</v>
      </c>
      <c r="D51" s="20">
        <v>2</v>
      </c>
      <c r="E51" s="674"/>
      <c r="F51" s="653"/>
    </row>
    <row r="52" spans="2:10" ht="18" hidden="1" x14ac:dyDescent="0.35">
      <c r="B52" s="18"/>
      <c r="C52" s="19" t="s">
        <v>9</v>
      </c>
      <c r="D52" s="20">
        <v>0</v>
      </c>
      <c r="E52" s="674"/>
      <c r="F52" s="653"/>
    </row>
    <row r="53" spans="2:10" ht="18" hidden="1" x14ac:dyDescent="0.35">
      <c r="B53" s="22"/>
      <c r="C53" s="19" t="s">
        <v>10</v>
      </c>
      <c r="D53" s="20">
        <v>3</v>
      </c>
      <c r="E53" s="675"/>
      <c r="F53" s="654"/>
    </row>
    <row r="54" spans="2:10" ht="18.600000000000001" hidden="1" thickBot="1" x14ac:dyDescent="0.4">
      <c r="B54" s="18"/>
      <c r="C54" s="23"/>
      <c r="D54" s="23"/>
      <c r="E54" s="23"/>
      <c r="F54" s="80"/>
    </row>
    <row r="55" spans="2:10" ht="18" hidden="1" x14ac:dyDescent="0.35">
      <c r="B55" s="15" t="s">
        <v>11</v>
      </c>
      <c r="C55" s="25"/>
      <c r="D55" s="25"/>
      <c r="E55" s="26"/>
      <c r="F55" s="79"/>
    </row>
    <row r="56" spans="2:10" ht="18.600000000000001" hidden="1" thickBot="1" x14ac:dyDescent="0.4">
      <c r="B56" s="27"/>
      <c r="C56" s="28" t="s">
        <v>12</v>
      </c>
      <c r="D56" s="28">
        <v>2</v>
      </c>
      <c r="E56" s="29">
        <f>D56</f>
        <v>2</v>
      </c>
      <c r="F56" s="81">
        <f>E56*2</f>
        <v>4</v>
      </c>
    </row>
    <row r="57" spans="2:10" hidden="1" x14ac:dyDescent="0.3"/>
    <row r="58" spans="2:10" hidden="1" x14ac:dyDescent="0.3"/>
    <row r="59" spans="2:10" hidden="1" x14ac:dyDescent="0.3"/>
    <row r="60" spans="2:10" hidden="1" x14ac:dyDescent="0.3"/>
    <row r="61" spans="2:10" ht="15" hidden="1" thickBot="1" x14ac:dyDescent="0.35"/>
    <row r="62" spans="2:10" ht="47.4" hidden="1" thickBot="1" x14ac:dyDescent="0.35">
      <c r="C62" s="57" t="s">
        <v>0</v>
      </c>
      <c r="D62" s="57" t="s">
        <v>1</v>
      </c>
      <c r="E62" s="57" t="s">
        <v>2</v>
      </c>
      <c r="F62" s="57" t="s">
        <v>17</v>
      </c>
      <c r="G62" s="58" t="s">
        <v>18</v>
      </c>
      <c r="H62" s="59" t="s">
        <v>19</v>
      </c>
      <c r="I62" s="60" t="s">
        <v>20</v>
      </c>
      <c r="J62" s="78" t="s">
        <v>28</v>
      </c>
    </row>
    <row r="63" spans="2:10" hidden="1" x14ac:dyDescent="0.3">
      <c r="B63" s="1" t="s">
        <v>3</v>
      </c>
      <c r="F63" s="12"/>
      <c r="G63" s="46"/>
      <c r="I63" s="47"/>
      <c r="J63" s="46"/>
    </row>
    <row r="64" spans="2:10" ht="18" hidden="1" x14ac:dyDescent="0.35">
      <c r="B64" s="18" t="s">
        <v>13</v>
      </c>
      <c r="C64" s="3" t="s">
        <v>5</v>
      </c>
      <c r="D64" s="4">
        <v>4</v>
      </c>
      <c r="E64" s="4">
        <v>7.75</v>
      </c>
      <c r="F64" s="13">
        <f>D64*E64</f>
        <v>31</v>
      </c>
      <c r="G64" s="48">
        <f>F64+F65+F66+F67+F68+F69</f>
        <v>100</v>
      </c>
      <c r="H64" s="12"/>
      <c r="I64" s="47"/>
      <c r="J64" s="676">
        <f>E48*2</f>
        <v>24</v>
      </c>
    </row>
    <row r="65" spans="2:17" ht="14.4" hidden="1" customHeight="1" x14ac:dyDescent="0.3">
      <c r="B65" s="2"/>
      <c r="C65" s="3" t="s">
        <v>6</v>
      </c>
      <c r="D65" s="4">
        <v>1</v>
      </c>
      <c r="E65" s="4">
        <v>7.75</v>
      </c>
      <c r="F65" s="13">
        <v>7.75</v>
      </c>
      <c r="G65" s="48"/>
      <c r="H65" s="12"/>
      <c r="I65" s="47"/>
      <c r="J65" s="677"/>
    </row>
    <row r="66" spans="2:17" ht="14.4" hidden="1" customHeight="1" x14ac:dyDescent="0.3">
      <c r="B66" s="2"/>
      <c r="C66" s="3" t="s">
        <v>7</v>
      </c>
      <c r="D66" s="4">
        <v>2</v>
      </c>
      <c r="E66" s="4">
        <v>9.5</v>
      </c>
      <c r="F66" s="13">
        <f t="shared" ref="F66:F69" si="1">D66*E66</f>
        <v>19</v>
      </c>
      <c r="G66" s="48"/>
      <c r="H66" s="12"/>
      <c r="I66" s="47"/>
      <c r="J66" s="677"/>
    </row>
    <row r="67" spans="2:17" ht="14.4" hidden="1" customHeight="1" x14ac:dyDescent="0.3">
      <c r="B67" s="2"/>
      <c r="C67" s="3" t="s">
        <v>8</v>
      </c>
      <c r="D67" s="4">
        <v>2</v>
      </c>
      <c r="E67" s="4">
        <v>9.5</v>
      </c>
      <c r="F67" s="13">
        <f t="shared" si="1"/>
        <v>19</v>
      </c>
      <c r="G67" s="48"/>
      <c r="H67" s="12"/>
      <c r="I67" s="47"/>
      <c r="J67" s="677"/>
    </row>
    <row r="68" spans="2:17" ht="14.4" hidden="1" customHeight="1" x14ac:dyDescent="0.3">
      <c r="B68" s="2"/>
      <c r="C68" s="3" t="s">
        <v>9</v>
      </c>
      <c r="D68" s="4">
        <v>0</v>
      </c>
      <c r="E68" s="4">
        <v>0</v>
      </c>
      <c r="F68" s="13">
        <f t="shared" si="1"/>
        <v>0</v>
      </c>
      <c r="G68" s="48"/>
      <c r="H68" s="12"/>
      <c r="I68" s="47"/>
      <c r="J68" s="677"/>
    </row>
    <row r="69" spans="2:17" ht="18" hidden="1" x14ac:dyDescent="0.3">
      <c r="B69" s="5"/>
      <c r="C69" s="3" t="s">
        <v>10</v>
      </c>
      <c r="D69" s="4">
        <v>3</v>
      </c>
      <c r="E69" s="4">
        <v>7.75</v>
      </c>
      <c r="F69" s="13">
        <f t="shared" si="1"/>
        <v>23.25</v>
      </c>
      <c r="G69" s="49"/>
      <c r="H69" s="49">
        <f>(G64*7)</f>
        <v>700</v>
      </c>
      <c r="I69" s="74">
        <f>H69*52/E21</f>
        <v>20</v>
      </c>
      <c r="J69" s="678"/>
    </row>
    <row r="70" spans="2:17" ht="18.600000000000001" hidden="1" thickBot="1" x14ac:dyDescent="0.35">
      <c r="B70" s="2"/>
      <c r="C70" s="6"/>
      <c r="D70" s="6"/>
      <c r="E70" s="6"/>
      <c r="F70" s="6"/>
      <c r="G70" s="50"/>
      <c r="H70" s="30"/>
      <c r="I70" s="75"/>
      <c r="J70" s="80"/>
    </row>
    <row r="71" spans="2:17" ht="18" hidden="1" x14ac:dyDescent="0.3">
      <c r="B71" s="1" t="s">
        <v>11</v>
      </c>
      <c r="C71" s="7"/>
      <c r="D71" s="7"/>
      <c r="E71" s="7"/>
      <c r="F71" s="7"/>
      <c r="G71" s="51"/>
      <c r="H71" s="51"/>
      <c r="I71" s="76"/>
      <c r="J71" s="79"/>
    </row>
    <row r="72" spans="2:17" ht="18.600000000000001" hidden="1" thickBot="1" x14ac:dyDescent="0.35">
      <c r="B72" s="8"/>
      <c r="C72" s="9" t="s">
        <v>12</v>
      </c>
      <c r="D72" s="9">
        <v>2</v>
      </c>
      <c r="E72" s="9">
        <v>10</v>
      </c>
      <c r="F72" s="9">
        <f>D72*E72</f>
        <v>20</v>
      </c>
      <c r="G72" s="52">
        <f>F72</f>
        <v>20</v>
      </c>
      <c r="H72" s="52">
        <f>G72*7</f>
        <v>140</v>
      </c>
      <c r="I72" s="73">
        <f>H72*52/E22</f>
        <v>4.3076923076923075</v>
      </c>
      <c r="J72" s="73">
        <f>E56*2</f>
        <v>4</v>
      </c>
    </row>
    <row r="73" spans="2:17" ht="15" hidden="1" thickBot="1" x14ac:dyDescent="0.35">
      <c r="H73" s="53" t="s">
        <v>21</v>
      </c>
      <c r="I73" s="54">
        <f>I69+I72</f>
        <v>24.307692307692307</v>
      </c>
    </row>
    <row r="74" spans="2:17" hidden="1" x14ac:dyDescent="0.3"/>
    <row r="75" spans="2:17" hidden="1" x14ac:dyDescent="0.3"/>
    <row r="76" spans="2:17" hidden="1" x14ac:dyDescent="0.3"/>
    <row r="77" spans="2:17" hidden="1" x14ac:dyDescent="0.3"/>
    <row r="78" spans="2:17" hidden="1" x14ac:dyDescent="0.3"/>
    <row r="79" spans="2:17" ht="15" hidden="1" thickBot="1" x14ac:dyDescent="0.35"/>
    <row r="80" spans="2:17" ht="18.600000000000001" hidden="1" thickBot="1" x14ac:dyDescent="0.35">
      <c r="C80" s="82" t="s">
        <v>29</v>
      </c>
      <c r="D80" s="83"/>
      <c r="E80" s="84"/>
      <c r="F80" s="84"/>
      <c r="G80" s="84"/>
      <c r="H80" s="85"/>
      <c r="L80" s="159" t="s">
        <v>66</v>
      </c>
      <c r="M80" s="160"/>
      <c r="N80" s="161"/>
      <c r="O80" s="161"/>
      <c r="P80" s="161"/>
      <c r="Q80" s="162"/>
    </row>
    <row r="81" spans="2:17" ht="18" hidden="1" x14ac:dyDescent="0.3">
      <c r="B81" s="86" t="s">
        <v>30</v>
      </c>
      <c r="C81" s="87">
        <f>G81+G83+G85+G87+G89+G91+G93+G95+G97+G99+G101+G103+G109+G105+G107</f>
        <v>15</v>
      </c>
      <c r="D81" s="88" t="s">
        <v>31</v>
      </c>
      <c r="E81" s="89">
        <v>1</v>
      </c>
      <c r="F81" s="90" t="s">
        <v>32</v>
      </c>
      <c r="G81" s="91">
        <v>1</v>
      </c>
      <c r="H81" s="92">
        <v>1</v>
      </c>
      <c r="K81" s="86" t="s">
        <v>30</v>
      </c>
      <c r="L81" s="87">
        <f>P81+P83+P85+P89+P87</f>
        <v>5</v>
      </c>
      <c r="M81" s="116" t="s">
        <v>67</v>
      </c>
      <c r="N81" s="89">
        <v>1</v>
      </c>
      <c r="O81" s="90" t="s">
        <v>68</v>
      </c>
      <c r="P81" s="91">
        <v>1</v>
      </c>
      <c r="Q81" s="163">
        <v>1</v>
      </c>
    </row>
    <row r="82" spans="2:17" ht="18.600000000000001" hidden="1" thickBot="1" x14ac:dyDescent="0.35">
      <c r="B82" s="93" t="s">
        <v>33</v>
      </c>
      <c r="C82" s="94">
        <f>H81+H83+H85+H87+H89+H91+H93+H95+H97+H99+H101+H103+H109+H105+H107</f>
        <v>14.3</v>
      </c>
      <c r="D82" s="95"/>
      <c r="E82" s="96"/>
      <c r="F82" s="97"/>
      <c r="G82" s="98"/>
      <c r="H82" s="99"/>
      <c r="K82" s="93" t="s">
        <v>33</v>
      </c>
      <c r="L82" s="94">
        <f>Q81+Q83+Q85+Q89+Q87</f>
        <v>5</v>
      </c>
      <c r="M82" s="95"/>
      <c r="N82" s="103"/>
      <c r="O82" s="97"/>
      <c r="P82" s="98"/>
      <c r="Q82" s="164"/>
    </row>
    <row r="83" spans="2:17" ht="18" hidden="1" x14ac:dyDescent="0.3">
      <c r="D83" s="100" t="s">
        <v>31</v>
      </c>
      <c r="E83" s="96">
        <v>2</v>
      </c>
      <c r="F83" s="97" t="s">
        <v>34</v>
      </c>
      <c r="G83" s="98">
        <v>1</v>
      </c>
      <c r="H83" s="99">
        <v>1</v>
      </c>
      <c r="M83" s="106" t="s">
        <v>67</v>
      </c>
      <c r="N83" s="103">
        <v>2</v>
      </c>
      <c r="O83" s="97" t="s">
        <v>69</v>
      </c>
      <c r="P83" s="98">
        <v>1</v>
      </c>
      <c r="Q83" s="164">
        <v>1</v>
      </c>
    </row>
    <row r="84" spans="2:17" ht="18" hidden="1" x14ac:dyDescent="0.3">
      <c r="D84" s="95"/>
      <c r="E84" s="96"/>
      <c r="F84" s="101"/>
      <c r="G84" s="102"/>
      <c r="H84" s="99"/>
      <c r="M84" s="95"/>
      <c r="N84" s="103"/>
      <c r="O84" s="97"/>
      <c r="P84" s="98"/>
      <c r="Q84" s="164"/>
    </row>
    <row r="85" spans="2:17" ht="18" hidden="1" x14ac:dyDescent="0.3">
      <c r="D85" s="100" t="s">
        <v>31</v>
      </c>
      <c r="E85" s="103">
        <v>3</v>
      </c>
      <c r="F85" s="101" t="s">
        <v>35</v>
      </c>
      <c r="G85" s="102">
        <v>1</v>
      </c>
      <c r="H85" s="99">
        <v>1</v>
      </c>
      <c r="M85" s="106" t="s">
        <v>67</v>
      </c>
      <c r="N85" s="103">
        <v>3</v>
      </c>
      <c r="O85" s="97" t="s">
        <v>70</v>
      </c>
      <c r="P85" s="98">
        <v>1</v>
      </c>
      <c r="Q85" s="164">
        <v>1</v>
      </c>
    </row>
    <row r="86" spans="2:17" ht="18" hidden="1" x14ac:dyDescent="0.3">
      <c r="D86" s="95"/>
      <c r="E86" s="103"/>
      <c r="F86" s="101"/>
      <c r="G86" s="102"/>
      <c r="H86" s="99"/>
      <c r="M86" s="95"/>
      <c r="N86" s="103"/>
      <c r="O86" s="97"/>
      <c r="P86" s="98"/>
      <c r="Q86" s="164"/>
    </row>
    <row r="87" spans="2:17" ht="18" hidden="1" x14ac:dyDescent="0.3">
      <c r="D87" s="100" t="s">
        <v>31</v>
      </c>
      <c r="E87" s="103">
        <v>4</v>
      </c>
      <c r="F87" s="97" t="s">
        <v>36</v>
      </c>
      <c r="G87" s="102">
        <v>1</v>
      </c>
      <c r="H87" s="99">
        <v>1</v>
      </c>
      <c r="M87" s="106" t="s">
        <v>71</v>
      </c>
      <c r="N87" s="103">
        <v>11</v>
      </c>
      <c r="O87" s="97" t="s">
        <v>72</v>
      </c>
      <c r="P87" s="102">
        <v>1</v>
      </c>
      <c r="Q87" s="99">
        <v>1</v>
      </c>
    </row>
    <row r="88" spans="2:17" ht="18" hidden="1" x14ac:dyDescent="0.3">
      <c r="D88" s="95"/>
      <c r="E88" s="96"/>
      <c r="F88" s="101"/>
      <c r="G88" s="102"/>
      <c r="H88" s="104"/>
      <c r="M88" s="95"/>
      <c r="N88" s="96"/>
      <c r="O88" s="101"/>
      <c r="P88" s="102"/>
      <c r="Q88" s="104"/>
    </row>
    <row r="89" spans="2:17" ht="18" hidden="1" x14ac:dyDescent="0.3">
      <c r="D89" s="100" t="s">
        <v>31</v>
      </c>
      <c r="E89" s="103">
        <v>5</v>
      </c>
      <c r="F89" s="97" t="s">
        <v>37</v>
      </c>
      <c r="G89" s="102">
        <v>1</v>
      </c>
      <c r="H89" s="99">
        <v>1</v>
      </c>
      <c r="M89" s="124" t="s">
        <v>73</v>
      </c>
      <c r="N89" s="96">
        <v>4</v>
      </c>
      <c r="O89" s="101" t="s">
        <v>74</v>
      </c>
      <c r="P89" s="102">
        <v>1</v>
      </c>
      <c r="Q89" s="165">
        <v>1</v>
      </c>
    </row>
    <row r="90" spans="2:17" ht="18" hidden="1" x14ac:dyDescent="0.3">
      <c r="D90" s="95"/>
      <c r="E90" s="96"/>
      <c r="F90" s="97"/>
      <c r="G90" s="98"/>
      <c r="H90" s="99"/>
    </row>
    <row r="91" spans="2:17" ht="18" hidden="1" x14ac:dyDescent="0.3">
      <c r="D91" s="100" t="s">
        <v>31</v>
      </c>
      <c r="E91" s="96">
        <v>6</v>
      </c>
      <c r="F91" s="97" t="s">
        <v>38</v>
      </c>
      <c r="G91" s="102">
        <v>1</v>
      </c>
      <c r="H91" s="99">
        <v>1</v>
      </c>
    </row>
    <row r="92" spans="2:17" ht="18" hidden="1" x14ac:dyDescent="0.3">
      <c r="D92" s="95"/>
      <c r="E92" s="96"/>
      <c r="F92" s="101"/>
      <c r="G92" s="102"/>
      <c r="H92" s="99"/>
    </row>
    <row r="93" spans="2:17" ht="18" hidden="1" x14ac:dyDescent="0.3">
      <c r="D93" s="100" t="s">
        <v>31</v>
      </c>
      <c r="E93" s="103">
        <v>7</v>
      </c>
      <c r="F93" s="101" t="s">
        <v>39</v>
      </c>
      <c r="G93" s="102">
        <v>1</v>
      </c>
      <c r="H93" s="99">
        <v>1</v>
      </c>
    </row>
    <row r="94" spans="2:17" ht="18" hidden="1" x14ac:dyDescent="0.3">
      <c r="D94" s="95"/>
      <c r="E94" s="103"/>
      <c r="F94" s="101"/>
      <c r="G94" s="102"/>
      <c r="H94" s="99"/>
    </row>
    <row r="95" spans="2:17" ht="18" hidden="1" x14ac:dyDescent="0.3">
      <c r="C95" s="105"/>
      <c r="D95" s="100" t="s">
        <v>31</v>
      </c>
      <c r="E95" s="103">
        <v>8</v>
      </c>
      <c r="F95" s="97" t="s">
        <v>40</v>
      </c>
      <c r="G95" s="102">
        <v>1</v>
      </c>
      <c r="H95" s="99">
        <v>1</v>
      </c>
    </row>
    <row r="96" spans="2:17" ht="18" hidden="1" x14ac:dyDescent="0.3">
      <c r="D96" s="95"/>
      <c r="E96" s="96"/>
      <c r="F96" s="101"/>
      <c r="G96" s="102"/>
      <c r="H96" s="104"/>
    </row>
    <row r="97" spans="3:8" ht="18" hidden="1" x14ac:dyDescent="0.3">
      <c r="D97" s="100" t="s">
        <v>41</v>
      </c>
      <c r="E97" s="103">
        <v>9</v>
      </c>
      <c r="F97" s="97" t="s">
        <v>42</v>
      </c>
      <c r="G97" s="98">
        <v>1</v>
      </c>
      <c r="H97" s="99">
        <v>1</v>
      </c>
    </row>
    <row r="98" spans="3:8" ht="18" hidden="1" x14ac:dyDescent="0.3">
      <c r="D98" s="95"/>
      <c r="E98" s="96"/>
      <c r="F98" s="101"/>
      <c r="G98" s="102"/>
      <c r="H98" s="99"/>
    </row>
    <row r="99" spans="3:8" ht="18" hidden="1" x14ac:dyDescent="0.3">
      <c r="D99" s="100" t="s">
        <v>41</v>
      </c>
      <c r="E99" s="103">
        <v>10</v>
      </c>
      <c r="F99" s="101" t="s">
        <v>43</v>
      </c>
      <c r="G99" s="102">
        <v>1</v>
      </c>
      <c r="H99" s="99">
        <v>1</v>
      </c>
    </row>
    <row r="100" spans="3:8" ht="18" hidden="1" x14ac:dyDescent="0.3">
      <c r="D100" s="95"/>
      <c r="E100" s="103"/>
      <c r="F100" s="101"/>
      <c r="G100" s="102"/>
      <c r="H100" s="99"/>
    </row>
    <row r="101" spans="3:8" ht="18" hidden="1" x14ac:dyDescent="0.3">
      <c r="D101" s="100" t="s">
        <v>31</v>
      </c>
      <c r="E101" s="103">
        <v>11</v>
      </c>
      <c r="F101" s="97" t="s">
        <v>44</v>
      </c>
      <c r="G101" s="98">
        <v>1</v>
      </c>
      <c r="H101" s="99">
        <v>0.8</v>
      </c>
    </row>
    <row r="102" spans="3:8" ht="18" hidden="1" x14ac:dyDescent="0.3">
      <c r="D102" s="95"/>
      <c r="E102" s="103"/>
      <c r="F102" s="101"/>
      <c r="G102" s="102"/>
      <c r="H102" s="99"/>
    </row>
    <row r="103" spans="3:8" ht="18" hidden="1" x14ac:dyDescent="0.3">
      <c r="D103" s="100" t="s">
        <v>31</v>
      </c>
      <c r="E103" s="103">
        <v>12</v>
      </c>
      <c r="F103" s="97" t="s">
        <v>45</v>
      </c>
      <c r="G103" s="103">
        <v>1</v>
      </c>
      <c r="H103" s="99">
        <v>0.8</v>
      </c>
    </row>
    <row r="104" spans="3:8" ht="18" hidden="1" x14ac:dyDescent="0.3">
      <c r="D104" s="95"/>
      <c r="E104" s="96"/>
      <c r="F104" s="101"/>
      <c r="G104" s="102"/>
      <c r="H104" s="104"/>
    </row>
    <row r="105" spans="3:8" ht="18" hidden="1" x14ac:dyDescent="0.3">
      <c r="D105" s="100" t="s">
        <v>50</v>
      </c>
      <c r="E105" s="103">
        <v>13</v>
      </c>
      <c r="F105" s="97" t="s">
        <v>46</v>
      </c>
      <c r="G105" s="102">
        <v>1</v>
      </c>
      <c r="H105" s="99">
        <v>0.7</v>
      </c>
    </row>
    <row r="106" spans="3:8" ht="18" hidden="1" x14ac:dyDescent="0.3">
      <c r="D106" s="95"/>
      <c r="E106" s="96"/>
      <c r="F106" s="101"/>
      <c r="G106" s="102"/>
      <c r="H106" s="104"/>
    </row>
    <row r="107" spans="3:8" ht="18" hidden="1" x14ac:dyDescent="0.3">
      <c r="D107" s="106" t="s">
        <v>47</v>
      </c>
      <c r="E107" s="103">
        <v>14</v>
      </c>
      <c r="F107" s="97" t="s">
        <v>48</v>
      </c>
      <c r="G107" s="103">
        <v>1</v>
      </c>
      <c r="H107" s="99">
        <v>1</v>
      </c>
    </row>
    <row r="108" spans="3:8" ht="18" hidden="1" x14ac:dyDescent="0.3">
      <c r="D108" s="95"/>
      <c r="E108" s="96"/>
      <c r="F108" s="101"/>
      <c r="G108" s="102"/>
      <c r="H108" s="104"/>
    </row>
    <row r="109" spans="3:8" ht="18" hidden="1" x14ac:dyDescent="0.3">
      <c r="C109" s="105"/>
      <c r="D109" s="106" t="s">
        <v>47</v>
      </c>
      <c r="E109" s="103">
        <v>15</v>
      </c>
      <c r="F109" s="97" t="s">
        <v>49</v>
      </c>
      <c r="G109" s="103">
        <v>1</v>
      </c>
      <c r="H109" s="99">
        <v>1</v>
      </c>
    </row>
    <row r="110" spans="3:8" ht="18.600000000000001" hidden="1" thickBot="1" x14ac:dyDescent="0.35">
      <c r="C110" s="105"/>
      <c r="D110" s="107"/>
      <c r="E110" s="108"/>
      <c r="F110" s="109"/>
      <c r="G110" s="110"/>
      <c r="H110" s="111"/>
    </row>
    <row r="111" spans="3:8" ht="15" hidden="1" thickBot="1" x14ac:dyDescent="0.35"/>
    <row r="112" spans="3:8" ht="18.600000000000001" hidden="1" thickBot="1" x14ac:dyDescent="0.35">
      <c r="C112" s="112" t="s">
        <v>51</v>
      </c>
      <c r="D112" s="113"/>
      <c r="E112" s="114"/>
      <c r="F112" s="114"/>
      <c r="G112" s="114"/>
      <c r="H112" s="115"/>
    </row>
    <row r="113" spans="2:8" ht="18" hidden="1" x14ac:dyDescent="0.3">
      <c r="B113" s="86" t="s">
        <v>30</v>
      </c>
      <c r="C113" s="87">
        <f>G113+G115+G117+G119+G121+G123+G129+G125+G127</f>
        <v>9</v>
      </c>
      <c r="D113" s="88" t="s">
        <v>31</v>
      </c>
      <c r="E113" s="89">
        <v>1</v>
      </c>
      <c r="F113" s="90" t="s">
        <v>52</v>
      </c>
      <c r="G113" s="91">
        <v>1</v>
      </c>
      <c r="H113" s="92">
        <v>1</v>
      </c>
    </row>
    <row r="114" spans="2:8" ht="18.600000000000001" hidden="1" thickBot="1" x14ac:dyDescent="0.35">
      <c r="B114" s="93" t="s">
        <v>33</v>
      </c>
      <c r="C114" s="94">
        <f>H113+H115+H117+H119+H121+H123+H129+H125+H127</f>
        <v>9</v>
      </c>
      <c r="D114" s="95"/>
      <c r="E114" s="96"/>
      <c r="F114" s="97"/>
      <c r="G114" s="98"/>
      <c r="H114" s="99"/>
    </row>
    <row r="115" spans="2:8" ht="18" hidden="1" x14ac:dyDescent="0.3">
      <c r="D115" s="100" t="s">
        <v>31</v>
      </c>
      <c r="E115" s="96">
        <v>2</v>
      </c>
      <c r="F115" s="97" t="s">
        <v>53</v>
      </c>
      <c r="G115" s="98">
        <v>1</v>
      </c>
      <c r="H115" s="99">
        <v>1</v>
      </c>
    </row>
    <row r="116" spans="2:8" ht="18" hidden="1" x14ac:dyDescent="0.3">
      <c r="D116" s="95"/>
      <c r="E116" s="96"/>
      <c r="F116" s="101"/>
      <c r="G116" s="102"/>
      <c r="H116" s="99"/>
    </row>
    <row r="117" spans="2:8" ht="18" hidden="1" x14ac:dyDescent="0.3">
      <c r="D117" s="100" t="s">
        <v>41</v>
      </c>
      <c r="E117" s="103">
        <v>3</v>
      </c>
      <c r="F117" s="101" t="s">
        <v>54</v>
      </c>
      <c r="G117" s="102">
        <v>1</v>
      </c>
      <c r="H117" s="99">
        <v>1</v>
      </c>
    </row>
    <row r="118" spans="2:8" ht="18" hidden="1" x14ac:dyDescent="0.3">
      <c r="D118" s="95"/>
      <c r="E118" s="103"/>
      <c r="F118" s="101"/>
      <c r="G118" s="102"/>
      <c r="H118" s="99"/>
    </row>
    <row r="119" spans="2:8" ht="18" hidden="1" x14ac:dyDescent="0.3">
      <c r="D119" s="100" t="s">
        <v>41</v>
      </c>
      <c r="E119" s="103">
        <v>4</v>
      </c>
      <c r="F119" s="97" t="s">
        <v>55</v>
      </c>
      <c r="G119" s="102">
        <v>1</v>
      </c>
      <c r="H119" s="99">
        <v>1</v>
      </c>
    </row>
    <row r="120" spans="2:8" ht="18" hidden="1" x14ac:dyDescent="0.3">
      <c r="D120" s="95"/>
      <c r="E120" s="96"/>
      <c r="F120" s="101"/>
      <c r="G120" s="102"/>
      <c r="H120" s="104"/>
    </row>
    <row r="121" spans="2:8" ht="18" hidden="1" x14ac:dyDescent="0.3">
      <c r="D121" s="100" t="s">
        <v>41</v>
      </c>
      <c r="E121" s="103">
        <v>5</v>
      </c>
      <c r="F121" s="97" t="s">
        <v>56</v>
      </c>
      <c r="G121" s="102">
        <v>1</v>
      </c>
      <c r="H121" s="99">
        <v>1</v>
      </c>
    </row>
    <row r="122" spans="2:8" ht="18" hidden="1" x14ac:dyDescent="0.3">
      <c r="D122" s="95"/>
      <c r="E122" s="96"/>
      <c r="F122" s="97"/>
      <c r="G122" s="98"/>
      <c r="H122" s="99"/>
    </row>
    <row r="123" spans="2:8" ht="18" hidden="1" x14ac:dyDescent="0.3">
      <c r="D123" s="100" t="s">
        <v>41</v>
      </c>
      <c r="E123" s="96">
        <v>6</v>
      </c>
      <c r="F123" s="97" t="s">
        <v>57</v>
      </c>
      <c r="G123" s="102">
        <v>1</v>
      </c>
      <c r="H123" s="99">
        <v>1</v>
      </c>
    </row>
    <row r="124" spans="2:8" ht="18" hidden="1" x14ac:dyDescent="0.3">
      <c r="D124" s="95"/>
      <c r="E124" s="96"/>
      <c r="F124" s="101"/>
      <c r="G124" s="102"/>
      <c r="H124" s="99"/>
    </row>
    <row r="125" spans="2:8" ht="18" hidden="1" x14ac:dyDescent="0.3">
      <c r="D125" s="100" t="s">
        <v>41</v>
      </c>
      <c r="E125" s="103">
        <v>7</v>
      </c>
      <c r="F125" s="101" t="s">
        <v>58</v>
      </c>
      <c r="G125" s="102">
        <v>1</v>
      </c>
      <c r="H125" s="99">
        <v>1</v>
      </c>
    </row>
    <row r="126" spans="2:8" ht="18" hidden="1" x14ac:dyDescent="0.3">
      <c r="D126" s="95"/>
      <c r="E126" s="103"/>
      <c r="F126" s="101"/>
      <c r="G126" s="102"/>
      <c r="H126" s="99"/>
    </row>
    <row r="127" spans="2:8" ht="18" hidden="1" x14ac:dyDescent="0.3">
      <c r="D127" s="106" t="s">
        <v>47</v>
      </c>
      <c r="E127" s="103">
        <v>8</v>
      </c>
      <c r="F127" s="97" t="s">
        <v>59</v>
      </c>
      <c r="G127" s="98">
        <v>1</v>
      </c>
      <c r="H127" s="99">
        <v>1</v>
      </c>
    </row>
    <row r="128" spans="2:8" ht="18" hidden="1" x14ac:dyDescent="0.3">
      <c r="D128" s="117"/>
      <c r="E128" s="96"/>
      <c r="F128" s="101"/>
      <c r="G128" s="102"/>
      <c r="H128" s="104"/>
    </row>
    <row r="129" spans="1:8" ht="18" hidden="1" x14ac:dyDescent="0.3">
      <c r="D129" s="106" t="s">
        <v>47</v>
      </c>
      <c r="E129" s="103">
        <v>9</v>
      </c>
      <c r="F129" s="97" t="s">
        <v>60</v>
      </c>
      <c r="G129" s="98">
        <v>1</v>
      </c>
      <c r="H129" s="99">
        <v>1</v>
      </c>
    </row>
    <row r="130" spans="1:8" ht="18.600000000000001" hidden="1" thickBot="1" x14ac:dyDescent="0.35">
      <c r="D130" s="118"/>
      <c r="E130" s="108"/>
      <c r="F130" s="109"/>
      <c r="G130" s="110"/>
      <c r="H130" s="111"/>
    </row>
    <row r="131" spans="1:8" x14ac:dyDescent="0.3">
      <c r="A131" s="643" t="s">
        <v>292</v>
      </c>
      <c r="B131" s="644"/>
      <c r="C131" s="644"/>
      <c r="D131" s="644"/>
      <c r="E131" s="644"/>
    </row>
    <row r="132" spans="1:8" ht="15" thickBot="1" x14ac:dyDescent="0.35"/>
    <row r="133" spans="1:8" ht="18.600000000000001" thickBot="1" x14ac:dyDescent="0.35">
      <c r="A133" s="146" t="s">
        <v>269</v>
      </c>
      <c r="C133" s="82" t="s">
        <v>29</v>
      </c>
      <c r="D133" s="119"/>
      <c r="E133" s="123"/>
      <c r="F133" s="123"/>
      <c r="G133" s="84"/>
      <c r="H133" s="85"/>
    </row>
    <row r="134" spans="1:8" s="105" customFormat="1" ht="18.600000000000001" thickBot="1" x14ac:dyDescent="0.35">
      <c r="D134" s="132" t="s">
        <v>61</v>
      </c>
      <c r="E134" s="128" t="s">
        <v>62</v>
      </c>
      <c r="F134" s="125" t="s">
        <v>63</v>
      </c>
      <c r="G134" s="121"/>
      <c r="H134" s="122"/>
    </row>
    <row r="135" spans="1:8" x14ac:dyDescent="0.3">
      <c r="D135" s="88" t="s">
        <v>31</v>
      </c>
      <c r="E135" s="129">
        <v>1</v>
      </c>
      <c r="F135" s="126">
        <v>8</v>
      </c>
    </row>
    <row r="136" spans="1:8" ht="15" thickBot="1" x14ac:dyDescent="0.35">
      <c r="D136" s="133"/>
      <c r="E136" s="130">
        <v>0.8</v>
      </c>
      <c r="F136" s="127">
        <v>2</v>
      </c>
    </row>
    <row r="137" spans="1:8" x14ac:dyDescent="0.3">
      <c r="D137" s="88" t="s">
        <v>41</v>
      </c>
      <c r="E137" s="129">
        <v>1</v>
      </c>
      <c r="F137" s="126">
        <v>2</v>
      </c>
    </row>
    <row r="138" spans="1:8" ht="15" thickBot="1" x14ac:dyDescent="0.35">
      <c r="D138" s="133"/>
      <c r="E138" s="130">
        <v>0.7</v>
      </c>
      <c r="F138" s="127">
        <v>1</v>
      </c>
    </row>
    <row r="139" spans="1:8" ht="15" thickBot="1" x14ac:dyDescent="0.35">
      <c r="D139" s="134" t="s">
        <v>47</v>
      </c>
      <c r="E139" s="131">
        <v>1</v>
      </c>
      <c r="F139" s="54">
        <v>2</v>
      </c>
    </row>
    <row r="140" spans="1:8" ht="15" thickBot="1" x14ac:dyDescent="0.35">
      <c r="D140" s="135" t="s">
        <v>64</v>
      </c>
      <c r="E140" s="136">
        <f>E135*F135+E136*F136+E137*F137+E138*F138+E139*F139</f>
        <v>14.299999999999999</v>
      </c>
      <c r="F140" s="137">
        <f>F135+F136+F137+F138+F139</f>
        <v>15</v>
      </c>
    </row>
    <row r="141" spans="1:8" ht="18.600000000000001" thickBot="1" x14ac:dyDescent="0.35">
      <c r="C141" s="139" t="s">
        <v>51</v>
      </c>
      <c r="D141" s="140"/>
      <c r="E141" s="141"/>
      <c r="F141" s="141"/>
      <c r="G141" s="141"/>
      <c r="H141" s="142"/>
    </row>
    <row r="142" spans="1:8" ht="15" thickBot="1" x14ac:dyDescent="0.35">
      <c r="D142" s="143" t="s">
        <v>61</v>
      </c>
      <c r="E142" s="144" t="s">
        <v>62</v>
      </c>
      <c r="F142" s="145" t="s">
        <v>63</v>
      </c>
    </row>
    <row r="143" spans="1:8" ht="15" thickBot="1" x14ac:dyDescent="0.35">
      <c r="D143" s="138" t="s">
        <v>31</v>
      </c>
      <c r="E143" s="131">
        <v>1</v>
      </c>
      <c r="F143" s="54">
        <v>2</v>
      </c>
    </row>
    <row r="144" spans="1:8" ht="15" thickBot="1" x14ac:dyDescent="0.35">
      <c r="D144" s="138" t="s">
        <v>41</v>
      </c>
      <c r="E144" s="131">
        <v>1</v>
      </c>
      <c r="F144" s="54">
        <v>5</v>
      </c>
    </row>
    <row r="145" spans="1:8" ht="15" thickBot="1" x14ac:dyDescent="0.35">
      <c r="D145" s="134" t="s">
        <v>47</v>
      </c>
      <c r="E145" s="131">
        <v>1</v>
      </c>
      <c r="F145" s="54">
        <v>2</v>
      </c>
    </row>
    <row r="146" spans="1:8" ht="15" thickBot="1" x14ac:dyDescent="0.35">
      <c r="D146" s="147" t="s">
        <v>64</v>
      </c>
      <c r="E146" s="148">
        <f>E143*F143+E144*F144+E145*F145</f>
        <v>9</v>
      </c>
      <c r="F146" s="149">
        <f>F143+F144+F145</f>
        <v>9</v>
      </c>
    </row>
    <row r="147" spans="1:8" ht="15" thickBot="1" x14ac:dyDescent="0.35">
      <c r="C147" s="150" t="s">
        <v>65</v>
      </c>
      <c r="D147" s="151"/>
      <c r="E147" s="151"/>
      <c r="F147" s="151"/>
      <c r="G147" s="151"/>
      <c r="H147" s="151"/>
    </row>
    <row r="148" spans="1:8" ht="15" thickBot="1" x14ac:dyDescent="0.35">
      <c r="C148" s="120"/>
      <c r="D148" s="155"/>
      <c r="E148" s="158" t="s">
        <v>62</v>
      </c>
      <c r="F148" s="125" t="s">
        <v>63</v>
      </c>
      <c r="G148" s="120"/>
      <c r="H148" s="120"/>
    </row>
    <row r="149" spans="1:8" ht="18.600000000000001" thickBot="1" x14ac:dyDescent="0.35">
      <c r="D149" s="157" t="s">
        <v>21</v>
      </c>
      <c r="E149" s="156">
        <f>E140+E146</f>
        <v>23.299999999999997</v>
      </c>
      <c r="F149" s="154">
        <f>F140+F146</f>
        <v>24</v>
      </c>
    </row>
    <row r="150" spans="1:8" ht="18.600000000000001" thickBot="1" x14ac:dyDescent="0.35">
      <c r="D150" s="157" t="s">
        <v>76</v>
      </c>
      <c r="E150" s="90">
        <f>I69</f>
        <v>20</v>
      </c>
      <c r="F150" s="177">
        <f>J64</f>
        <v>24</v>
      </c>
    </row>
    <row r="151" spans="1:8" ht="18.600000000000001" thickBot="1" x14ac:dyDescent="0.35">
      <c r="D151" s="632" t="s">
        <v>77</v>
      </c>
      <c r="E151" s="230">
        <f>E149-E150</f>
        <v>3.2999999999999972</v>
      </c>
      <c r="F151" s="633">
        <f>F149-F150</f>
        <v>0</v>
      </c>
    </row>
    <row r="153" spans="1:8" ht="15" thickBot="1" x14ac:dyDescent="0.35"/>
    <row r="154" spans="1:8" ht="18.600000000000001" thickBot="1" x14ac:dyDescent="0.35">
      <c r="A154" s="146" t="s">
        <v>270</v>
      </c>
      <c r="C154" s="159" t="s">
        <v>66</v>
      </c>
      <c r="D154" s="160"/>
      <c r="E154" s="161"/>
      <c r="F154" s="161"/>
      <c r="G154" s="161"/>
      <c r="H154" s="162"/>
    </row>
    <row r="155" spans="1:8" ht="15" thickBot="1" x14ac:dyDescent="0.35">
      <c r="D155" s="132" t="s">
        <v>61</v>
      </c>
      <c r="E155" s="144" t="s">
        <v>62</v>
      </c>
      <c r="F155" s="145" t="s">
        <v>63</v>
      </c>
    </row>
    <row r="156" spans="1:8" ht="15" thickBot="1" x14ac:dyDescent="0.35">
      <c r="D156" s="88" t="s">
        <v>67</v>
      </c>
      <c r="E156" s="53">
        <v>1</v>
      </c>
      <c r="F156" s="54">
        <v>3</v>
      </c>
    </row>
    <row r="157" spans="1:8" ht="15" thickBot="1" x14ac:dyDescent="0.35">
      <c r="D157" s="138" t="s">
        <v>71</v>
      </c>
      <c r="E157" s="53">
        <v>1</v>
      </c>
      <c r="F157" s="54">
        <v>1</v>
      </c>
    </row>
    <row r="158" spans="1:8" ht="15" thickBot="1" x14ac:dyDescent="0.35">
      <c r="D158" s="134" t="s">
        <v>75</v>
      </c>
      <c r="E158" s="53">
        <v>1</v>
      </c>
      <c r="F158" s="54">
        <v>1</v>
      </c>
    </row>
    <row r="159" spans="1:8" ht="18.600000000000001" thickBot="1" x14ac:dyDescent="0.35">
      <c r="D159" s="169" t="s">
        <v>21</v>
      </c>
      <c r="E159" s="152">
        <f>E156*F156+E157*F157+E158*F158</f>
        <v>5</v>
      </c>
      <c r="F159" s="154">
        <f>F156+F157+F158</f>
        <v>5</v>
      </c>
    </row>
    <row r="160" spans="1:8" ht="18.600000000000001" thickBot="1" x14ac:dyDescent="0.4">
      <c r="D160" s="157" t="s">
        <v>76</v>
      </c>
      <c r="E160" s="179">
        <f>I72</f>
        <v>4.3076923076923075</v>
      </c>
      <c r="F160" s="180">
        <f>J72</f>
        <v>4</v>
      </c>
    </row>
    <row r="161" spans="1:10" ht="18.600000000000001" thickBot="1" x14ac:dyDescent="0.4">
      <c r="D161" s="632" t="s">
        <v>77</v>
      </c>
      <c r="E161" s="634">
        <f>E159-E160</f>
        <v>0.69230769230769251</v>
      </c>
      <c r="F161" s="635">
        <f>F159-F160</f>
        <v>1</v>
      </c>
    </row>
    <row r="164" spans="1:10" ht="15" thickBot="1" x14ac:dyDescent="0.35">
      <c r="A164" s="146" t="s">
        <v>272</v>
      </c>
    </row>
    <row r="165" spans="1:10" ht="15" thickBot="1" x14ac:dyDescent="0.35">
      <c r="C165" s="150" t="s">
        <v>65</v>
      </c>
      <c r="D165" s="151"/>
      <c r="E165" s="151"/>
      <c r="F165" s="151"/>
      <c r="G165" s="151"/>
      <c r="H165" s="151"/>
    </row>
    <row r="166" spans="1:10" ht="15" thickBot="1" x14ac:dyDescent="0.35">
      <c r="C166" s="120"/>
      <c r="D166" s="155"/>
      <c r="E166" s="158" t="s">
        <v>62</v>
      </c>
      <c r="F166" s="125" t="s">
        <v>63</v>
      </c>
      <c r="G166" s="120"/>
      <c r="H166" s="120"/>
    </row>
    <row r="167" spans="1:10" ht="18.600000000000001" thickBot="1" x14ac:dyDescent="0.35">
      <c r="D167" s="157" t="s">
        <v>76</v>
      </c>
      <c r="E167" s="90">
        <v>23.529411759999999</v>
      </c>
      <c r="F167" s="177">
        <v>24</v>
      </c>
    </row>
    <row r="168" spans="1:10" ht="35.4" thickBot="1" x14ac:dyDescent="0.35">
      <c r="D168" s="645" t="s">
        <v>271</v>
      </c>
      <c r="E168" s="156">
        <v>23.3</v>
      </c>
      <c r="F168" s="154">
        <v>24</v>
      </c>
    </row>
    <row r="169" spans="1:10" ht="15" thickBot="1" x14ac:dyDescent="0.35"/>
    <row r="170" spans="1:10" ht="18.600000000000001" thickBot="1" x14ac:dyDescent="0.35">
      <c r="D170" s="174" t="s">
        <v>77</v>
      </c>
      <c r="E170" s="230">
        <f>E167-E168</f>
        <v>0.22941175999999786</v>
      </c>
      <c r="F170" s="178">
        <f>F168-F167</f>
        <v>0</v>
      </c>
    </row>
    <row r="171" spans="1:10" ht="36.6" thickBot="1" x14ac:dyDescent="0.35">
      <c r="D171" s="197" t="s">
        <v>101</v>
      </c>
      <c r="E171" s="646">
        <f>E170*1547</f>
        <v>354.8999927199967</v>
      </c>
      <c r="F171" s="54"/>
      <c r="J171">
        <f>24*7.75*2</f>
        <v>372</v>
      </c>
    </row>
    <row r="173" spans="1:10" x14ac:dyDescent="0.3">
      <c r="A173" s="146" t="s">
        <v>273</v>
      </c>
    </row>
    <row r="174" spans="1:10" ht="15" thickBot="1" x14ac:dyDescent="0.35"/>
    <row r="175" spans="1:10" x14ac:dyDescent="0.3">
      <c r="E175" s="679" t="s">
        <v>80</v>
      </c>
      <c r="F175" s="681" t="s">
        <v>81</v>
      </c>
      <c r="G175" s="683" t="s">
        <v>77</v>
      </c>
    </row>
    <row r="176" spans="1:10" x14ac:dyDescent="0.3">
      <c r="E176" s="680"/>
      <c r="F176" s="682"/>
      <c r="G176" s="684"/>
    </row>
    <row r="177" spans="1:10" ht="16.2" thickBot="1" x14ac:dyDescent="0.35">
      <c r="E177" s="185">
        <v>23.529411759999999</v>
      </c>
      <c r="F177" s="186">
        <v>20</v>
      </c>
      <c r="G177" s="636">
        <f>E177-F177</f>
        <v>3.5294117599999986</v>
      </c>
    </row>
    <row r="180" spans="1:10" x14ac:dyDescent="0.3">
      <c r="A180" s="146" t="s">
        <v>79</v>
      </c>
      <c r="E180" s="146" t="s">
        <v>275</v>
      </c>
      <c r="F180" s="146"/>
      <c r="G180" s="146"/>
    </row>
    <row r="182" spans="1:10" ht="16.2" thickBot="1" x14ac:dyDescent="0.35">
      <c r="D182" s="191"/>
      <c r="E182" s="191"/>
      <c r="F182" s="191"/>
      <c r="G182" s="191"/>
      <c r="H182" s="192"/>
      <c r="I182" s="191"/>
    </row>
    <row r="183" spans="1:10" ht="14.4" customHeight="1" thickBot="1" x14ac:dyDescent="0.35">
      <c r="D183" s="191"/>
      <c r="E183" s="660" t="s">
        <v>82</v>
      </c>
      <c r="F183" s="661"/>
      <c r="G183" s="662"/>
    </row>
    <row r="184" spans="1:10" ht="15.6" customHeight="1" x14ac:dyDescent="0.3">
      <c r="D184" s="191"/>
      <c r="E184" s="663" t="s">
        <v>293</v>
      </c>
      <c r="F184" s="665" t="s">
        <v>83</v>
      </c>
      <c r="G184" s="667" t="s">
        <v>84</v>
      </c>
    </row>
    <row r="185" spans="1:10" ht="15.6" x14ac:dyDescent="0.3">
      <c r="D185" s="191"/>
      <c r="E185" s="664"/>
      <c r="F185" s="666"/>
      <c r="G185" s="668"/>
    </row>
    <row r="186" spans="1:10" ht="16.2" thickBot="1" x14ac:dyDescent="0.35">
      <c r="B186" t="s">
        <v>305</v>
      </c>
      <c r="D186" s="191"/>
      <c r="E186" s="194">
        <v>3.3</v>
      </c>
      <c r="F186" s="195">
        <f>E186*1820</f>
        <v>6006</v>
      </c>
      <c r="G186" s="196">
        <f>F186/52</f>
        <v>115.5</v>
      </c>
    </row>
    <row r="187" spans="1:10" ht="15.6" x14ac:dyDescent="0.3">
      <c r="D187" s="191"/>
      <c r="E187" s="669" t="s">
        <v>306</v>
      </c>
      <c r="F187" s="670"/>
      <c r="G187" s="670"/>
      <c r="H187" s="670"/>
      <c r="I187" s="670"/>
      <c r="J187" s="638">
        <f>G186/8.3333</f>
        <v>13.860055440221762</v>
      </c>
    </row>
    <row r="188" spans="1:10" ht="15.6" x14ac:dyDescent="0.3">
      <c r="D188" s="191"/>
      <c r="E188" s="671" t="s">
        <v>86</v>
      </c>
      <c r="F188" s="672"/>
      <c r="G188" s="672"/>
      <c r="H188" s="672"/>
      <c r="I188" s="672"/>
      <c r="J188" s="639">
        <f>J187/5</f>
        <v>2.7720110880443523</v>
      </c>
    </row>
    <row r="190" spans="1:10" x14ac:dyDescent="0.3">
      <c r="E190" s="658" t="s">
        <v>87</v>
      </c>
      <c r="F190" s="659"/>
      <c r="G190" s="659"/>
      <c r="H190" s="168">
        <f>1820-1547</f>
        <v>273</v>
      </c>
      <c r="I190" s="168">
        <f>H190/8.33</f>
        <v>32.773109243697476</v>
      </c>
      <c r="J190" s="168">
        <f>I190*23.3</f>
        <v>763.61344537815125</v>
      </c>
    </row>
    <row r="191" spans="1:10" x14ac:dyDescent="0.3">
      <c r="H191" s="168" t="s">
        <v>294</v>
      </c>
      <c r="I191" s="168" t="s">
        <v>88</v>
      </c>
      <c r="J191" s="637" t="s">
        <v>274</v>
      </c>
    </row>
    <row r="193" spans="1:17" hidden="1" x14ac:dyDescent="0.3"/>
    <row r="194" spans="1:17" hidden="1" x14ac:dyDescent="0.3"/>
    <row r="195" spans="1:17" x14ac:dyDescent="0.3">
      <c r="A195" s="146" t="s">
        <v>102</v>
      </c>
    </row>
    <row r="196" spans="1:17" ht="15" thickBot="1" x14ac:dyDescent="0.35"/>
    <row r="197" spans="1:17" x14ac:dyDescent="0.3">
      <c r="D197" s="202" t="s">
        <v>303</v>
      </c>
      <c r="E197" s="206" t="s">
        <v>89</v>
      </c>
      <c r="F197" s="207" t="s">
        <v>90</v>
      </c>
      <c r="G197" s="208" t="s">
        <v>91</v>
      </c>
      <c r="H197" s="146"/>
    </row>
    <row r="198" spans="1:17" ht="15" thickBot="1" x14ac:dyDescent="0.35">
      <c r="D198" s="203">
        <v>23.3</v>
      </c>
      <c r="E198" s="209">
        <f>D198*((1820-1547)/8.33)</f>
        <v>763.61344537815125</v>
      </c>
      <c r="F198" s="210">
        <f>(D198*5*3*7)/8.33</f>
        <v>293.69747899159665</v>
      </c>
      <c r="G198" s="211">
        <f>E198-F198</f>
        <v>469.9159663865546</v>
      </c>
      <c r="H198" s="146"/>
    </row>
    <row r="199" spans="1:17" x14ac:dyDescent="0.3">
      <c r="A199" s="199"/>
      <c r="B199" s="199"/>
      <c r="C199" s="199"/>
      <c r="D199" s="146"/>
      <c r="E199" s="212" t="s">
        <v>92</v>
      </c>
      <c r="F199" s="87">
        <f>F198/8</f>
        <v>36.712184873949582</v>
      </c>
      <c r="G199" s="204">
        <f>G198/(52-8)</f>
        <v>10.67990832696715</v>
      </c>
      <c r="H199" s="216" t="s">
        <v>95</v>
      </c>
      <c r="I199" s="199"/>
      <c r="J199" s="199"/>
      <c r="K199" s="199"/>
      <c r="L199" s="199"/>
      <c r="M199" s="199"/>
    </row>
    <row r="200" spans="1:17" x14ac:dyDescent="0.3">
      <c r="A200" s="199"/>
      <c r="B200" s="199"/>
      <c r="C200" s="199"/>
      <c r="D200" s="146"/>
      <c r="E200" s="213" t="s">
        <v>93</v>
      </c>
      <c r="F200" s="214">
        <f>F198/10</f>
        <v>29.369747899159666</v>
      </c>
      <c r="G200" s="217">
        <f>G198/(52-10)</f>
        <v>11.188475390156063</v>
      </c>
      <c r="H200" s="218" t="s">
        <v>95</v>
      </c>
      <c r="I200" s="199"/>
      <c r="J200" s="199"/>
      <c r="K200" s="199"/>
      <c r="L200" s="199"/>
      <c r="M200" s="199"/>
    </row>
    <row r="201" spans="1:17" x14ac:dyDescent="0.3">
      <c r="A201" s="199"/>
      <c r="B201" s="199"/>
      <c r="C201" s="199"/>
      <c r="D201" s="146"/>
      <c r="E201" s="213" t="s">
        <v>94</v>
      </c>
      <c r="F201" s="214">
        <f>F198/12</f>
        <v>24.474789915966387</v>
      </c>
      <c r="G201" s="217">
        <f>G198/(52-12)</f>
        <v>11.747899159663865</v>
      </c>
      <c r="H201" s="218" t="s">
        <v>95</v>
      </c>
      <c r="I201" s="199"/>
      <c r="J201" s="199"/>
      <c r="K201" s="199"/>
      <c r="L201" s="199"/>
      <c r="M201" s="199"/>
    </row>
    <row r="202" spans="1:17" x14ac:dyDescent="0.3">
      <c r="A202" s="199"/>
      <c r="B202" s="199"/>
      <c r="C202" s="199"/>
      <c r="D202" s="146"/>
      <c r="E202" s="213" t="s">
        <v>96</v>
      </c>
      <c r="F202" s="214">
        <f>F198/13</f>
        <v>22.592113768584358</v>
      </c>
      <c r="G202" s="217">
        <f>G198/(52-13)</f>
        <v>12.04912734324499</v>
      </c>
      <c r="H202" s="218" t="s">
        <v>95</v>
      </c>
      <c r="I202" s="199"/>
      <c r="J202" s="199"/>
      <c r="K202" s="199"/>
      <c r="L202" s="199"/>
      <c r="M202" s="199"/>
    </row>
    <row r="203" spans="1:17" s="146" customFormat="1" x14ac:dyDescent="0.3">
      <c r="A203" s="200"/>
      <c r="B203" s="200"/>
      <c r="C203" s="200"/>
      <c r="E203" s="213" t="s">
        <v>97</v>
      </c>
      <c r="F203" s="214">
        <f>F198/14</f>
        <v>20.97839135654262</v>
      </c>
      <c r="G203" s="217">
        <f>G198/(52-14)</f>
        <v>12.366209641751437</v>
      </c>
      <c r="H203" s="218" t="s">
        <v>95</v>
      </c>
      <c r="I203" s="198"/>
      <c r="J203" s="198"/>
      <c r="K203" s="198"/>
      <c r="L203" s="198"/>
      <c r="M203" s="200"/>
      <c r="Q203"/>
    </row>
    <row r="204" spans="1:17" s="146" customFormat="1" ht="14.4" customHeight="1" x14ac:dyDescent="0.3">
      <c r="A204" s="200"/>
      <c r="B204" s="200"/>
      <c r="C204" s="200"/>
      <c r="E204" s="213" t="s">
        <v>99</v>
      </c>
      <c r="F204" s="214">
        <f>F198/16</f>
        <v>18.356092436974791</v>
      </c>
      <c r="G204" s="217">
        <f>G198/(52-16)</f>
        <v>13.053221288515406</v>
      </c>
      <c r="H204" s="218" t="s">
        <v>95</v>
      </c>
      <c r="I204" s="173"/>
      <c r="J204" s="173"/>
      <c r="K204" s="173"/>
      <c r="L204" s="173"/>
      <c r="M204" s="200"/>
    </row>
    <row r="205" spans="1:17" s="146" customFormat="1" ht="14.4" customHeight="1" x14ac:dyDescent="0.3">
      <c r="A205" s="200"/>
      <c r="B205" s="200"/>
      <c r="C205" s="200"/>
      <c r="E205" s="220" t="s">
        <v>103</v>
      </c>
      <c r="F205" s="221">
        <f>F198/17</f>
        <v>17.276322293623334</v>
      </c>
      <c r="G205" s="222">
        <f>G198/(52-17)</f>
        <v>13.426170468187275</v>
      </c>
      <c r="H205" s="223" t="s">
        <v>95</v>
      </c>
      <c r="I205" s="173"/>
      <c r="J205" s="173"/>
      <c r="K205" s="173"/>
      <c r="L205" s="173"/>
      <c r="M205" s="200"/>
    </row>
    <row r="206" spans="1:17" s="146" customFormat="1" x14ac:dyDescent="0.3">
      <c r="A206" s="200"/>
      <c r="B206" s="200"/>
      <c r="C206" s="200"/>
      <c r="E206" s="220" t="s">
        <v>100</v>
      </c>
      <c r="F206" s="221">
        <f>F198/18</f>
        <v>16.31652661064426</v>
      </c>
      <c r="G206" s="222">
        <f>G198/(52-18)</f>
        <v>13.821057834898665</v>
      </c>
      <c r="H206" s="223" t="s">
        <v>95</v>
      </c>
      <c r="I206" s="200"/>
      <c r="J206" s="200"/>
      <c r="K206" s="200"/>
      <c r="L206" s="200"/>
      <c r="M206" s="200"/>
    </row>
    <row r="207" spans="1:17" s="146" customFormat="1" ht="15" thickBot="1" x14ac:dyDescent="0.35">
      <c r="A207" s="200"/>
      <c r="B207" s="200"/>
      <c r="C207" s="200"/>
      <c r="E207" s="187" t="s">
        <v>98</v>
      </c>
      <c r="F207" s="215">
        <f>F198/20</f>
        <v>14.684873949579833</v>
      </c>
      <c r="G207" s="219">
        <f>G198/(52-20)</f>
        <v>14.684873949579831</v>
      </c>
      <c r="H207" s="188" t="s">
        <v>95</v>
      </c>
      <c r="I207" s="200"/>
      <c r="J207" s="200"/>
      <c r="K207" s="200"/>
      <c r="L207" s="200"/>
      <c r="M207" s="200"/>
    </row>
    <row r="208" spans="1:17" s="146" customFormat="1" x14ac:dyDescent="0.3">
      <c r="A208" s="200"/>
      <c r="B208" s="200"/>
      <c r="C208" s="200"/>
      <c r="I208" s="200"/>
      <c r="J208" s="200"/>
      <c r="K208" s="200"/>
      <c r="L208" s="200"/>
      <c r="M208" s="200"/>
    </row>
    <row r="209" spans="1:13" s="146" customFormat="1" ht="15.6" x14ac:dyDescent="0.3">
      <c r="A209" s="200"/>
      <c r="B209" s="200"/>
      <c r="C209" s="200"/>
      <c r="D209" s="191"/>
      <c r="E209" s="191"/>
      <c r="F209" s="191"/>
      <c r="G209" s="200"/>
      <c r="H209" s="200"/>
      <c r="I209" s="200"/>
      <c r="J209" s="200"/>
      <c r="K209" s="200"/>
      <c r="L209" s="200"/>
      <c r="M209" s="200"/>
    </row>
    <row r="210" spans="1:13" s="146" customFormat="1" ht="15.6" x14ac:dyDescent="0.3">
      <c r="A210" s="200"/>
      <c r="B210" s="200"/>
      <c r="C210" s="200"/>
      <c r="D210" s="191"/>
      <c r="E210" s="173"/>
      <c r="F210" s="173"/>
      <c r="G210" s="198"/>
      <c r="H210" s="198"/>
      <c r="I210" s="198"/>
      <c r="J210" s="198"/>
      <c r="K210" s="198"/>
      <c r="L210" s="198"/>
      <c r="M210" s="200"/>
    </row>
    <row r="211" spans="1:13" s="146" customFormat="1" ht="14.4" customHeight="1" x14ac:dyDescent="0.3">
      <c r="A211" s="200"/>
      <c r="B211" s="200"/>
      <c r="C211" s="200"/>
      <c r="D211" s="173"/>
      <c r="E211" s="173"/>
      <c r="F211" s="173"/>
      <c r="G211" s="173"/>
      <c r="H211" s="173"/>
      <c r="I211" s="173"/>
      <c r="J211" s="173"/>
      <c r="K211" s="173"/>
      <c r="L211" s="173"/>
      <c r="M211" s="200"/>
    </row>
    <row r="212" spans="1:13" s="146" customFormat="1" x14ac:dyDescent="0.3">
      <c r="A212" s="200"/>
      <c r="B212" s="200"/>
      <c r="C212" s="200"/>
      <c r="D212" s="173"/>
      <c r="E212" s="173"/>
      <c r="F212" s="173"/>
      <c r="G212" s="200"/>
      <c r="H212" s="200"/>
      <c r="I212" s="200"/>
      <c r="J212" s="200"/>
      <c r="K212" s="200"/>
      <c r="L212" s="200"/>
      <c r="M212" s="200"/>
    </row>
    <row r="213" spans="1:13" s="146" customFormat="1" ht="15.6" x14ac:dyDescent="0.3">
      <c r="A213" s="200"/>
      <c r="B213" s="200"/>
      <c r="C213" s="200"/>
      <c r="D213" s="191"/>
      <c r="E213" s="191"/>
      <c r="F213" s="191"/>
      <c r="G213" s="200"/>
      <c r="H213" s="200"/>
      <c r="I213" s="200"/>
      <c r="J213" s="200"/>
      <c r="K213" s="200"/>
      <c r="L213" s="200"/>
      <c r="M213" s="200"/>
    </row>
    <row r="214" spans="1:13" s="146" customFormat="1" ht="15.6" x14ac:dyDescent="0.3">
      <c r="A214" s="200"/>
      <c r="B214" s="200"/>
      <c r="C214" s="200"/>
      <c r="D214" s="191"/>
      <c r="E214" s="191"/>
      <c r="F214" s="191"/>
      <c r="G214" s="200"/>
      <c r="H214" s="200"/>
      <c r="I214" s="200"/>
      <c r="J214" s="200"/>
      <c r="K214" s="200"/>
      <c r="L214" s="200"/>
      <c r="M214" s="200"/>
    </row>
    <row r="215" spans="1:13" s="146" customFormat="1" ht="15.6" x14ac:dyDescent="0.3">
      <c r="A215" s="200"/>
      <c r="B215" s="200"/>
      <c r="C215" s="200"/>
      <c r="D215" s="191"/>
      <c r="E215" s="191"/>
      <c r="F215" s="191"/>
      <c r="G215" s="200"/>
      <c r="H215" s="200"/>
      <c r="I215" s="200"/>
      <c r="J215" s="200"/>
      <c r="K215" s="200"/>
      <c r="L215" s="200"/>
      <c r="M215" s="200"/>
    </row>
    <row r="216" spans="1:13" s="146" customFormat="1" ht="15.6" x14ac:dyDescent="0.3">
      <c r="A216" s="200"/>
      <c r="B216" s="200"/>
      <c r="C216" s="200"/>
      <c r="D216" s="191"/>
      <c r="E216" s="191"/>
      <c r="F216" s="191"/>
      <c r="G216" s="200"/>
      <c r="H216" s="200"/>
      <c r="I216" s="200"/>
      <c r="J216" s="200"/>
      <c r="K216" s="200"/>
      <c r="L216" s="200"/>
      <c r="M216" s="200"/>
    </row>
    <row r="217" spans="1:13" x14ac:dyDescent="0.3">
      <c r="A217" s="199"/>
      <c r="B217" s="199"/>
      <c r="C217" s="199"/>
      <c r="D217" s="200"/>
      <c r="E217" s="200"/>
      <c r="F217" s="200"/>
      <c r="G217" s="200"/>
      <c r="H217" s="200"/>
      <c r="I217" s="199"/>
      <c r="J217" s="199"/>
      <c r="K217" s="199"/>
      <c r="L217" s="199"/>
      <c r="M217" s="199"/>
    </row>
    <row r="218" spans="1:13" ht="15.6" x14ac:dyDescent="0.3">
      <c r="A218" s="199"/>
      <c r="B218" s="199"/>
      <c r="C218" s="199"/>
      <c r="D218" s="191"/>
      <c r="E218" s="191"/>
      <c r="F218" s="191"/>
      <c r="G218" s="191"/>
      <c r="H218" s="201"/>
      <c r="I218" s="199"/>
      <c r="J218" s="199"/>
      <c r="K218" s="199"/>
      <c r="L218" s="199"/>
      <c r="M218" s="199"/>
    </row>
    <row r="219" spans="1:13" x14ac:dyDescent="0.3">
      <c r="A219" s="199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</row>
    <row r="220" spans="1:13" x14ac:dyDescent="0.3">
      <c r="A220" s="199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</row>
    <row r="221" spans="1:13" x14ac:dyDescent="0.3">
      <c r="A221" s="199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</row>
    <row r="222" spans="1:13" x14ac:dyDescent="0.3">
      <c r="A222" s="199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</row>
    <row r="223" spans="1:13" x14ac:dyDescent="0.3">
      <c r="A223" s="199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</row>
    <row r="224" spans="1:13" x14ac:dyDescent="0.3">
      <c r="A224" s="199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</row>
    <row r="225" spans="1:13" x14ac:dyDescent="0.3">
      <c r="A225" s="199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</row>
    <row r="226" spans="1:13" x14ac:dyDescent="0.3">
      <c r="A226" s="199"/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</row>
    <row r="227" spans="1:13" x14ac:dyDescent="0.3">
      <c r="A227" s="199"/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</row>
    <row r="228" spans="1:13" x14ac:dyDescent="0.3">
      <c r="A228" s="199"/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</row>
    <row r="229" spans="1:13" x14ac:dyDescent="0.3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</row>
  </sheetData>
  <mergeCells count="13">
    <mergeCell ref="E48:E53"/>
    <mergeCell ref="F48:F53"/>
    <mergeCell ref="J64:J69"/>
    <mergeCell ref="E175:E176"/>
    <mergeCell ref="F175:F176"/>
    <mergeCell ref="G175:G176"/>
    <mergeCell ref="E190:G190"/>
    <mergeCell ref="E183:G183"/>
    <mergeCell ref="E184:E185"/>
    <mergeCell ref="F184:F185"/>
    <mergeCell ref="G184:G185"/>
    <mergeCell ref="E187:I187"/>
    <mergeCell ref="E188:I18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43"/>
  <sheetViews>
    <sheetView workbookViewId="0">
      <selection activeCell="B20" sqref="B20"/>
    </sheetView>
  </sheetViews>
  <sheetFormatPr baseColWidth="10" defaultRowHeight="14.4" x14ac:dyDescent="0.3"/>
  <cols>
    <col min="3" max="6" width="11.5546875" style="30"/>
    <col min="7" max="7" width="18.33203125" style="30" customWidth="1"/>
    <col min="8" max="8" width="11.5546875" style="30"/>
    <col min="10" max="10" width="11.44140625" customWidth="1"/>
    <col min="11" max="11" width="12.44140625" customWidth="1"/>
    <col min="12" max="13" width="11.5546875" customWidth="1"/>
    <col min="14" max="15" width="11.44140625" customWidth="1"/>
  </cols>
  <sheetData>
    <row r="2" spans="1:17" ht="31.2" x14ac:dyDescent="0.3">
      <c r="D2" s="61" t="s">
        <v>112</v>
      </c>
    </row>
    <row r="4" spans="1:17" x14ac:dyDescent="0.3">
      <c r="A4" t="s">
        <v>295</v>
      </c>
      <c r="B4" t="s">
        <v>296</v>
      </c>
      <c r="E4" s="647" t="s">
        <v>300</v>
      </c>
    </row>
    <row r="5" spans="1:17" x14ac:dyDescent="0.3">
      <c r="B5" t="s">
        <v>297</v>
      </c>
      <c r="E5" s="647" t="s">
        <v>301</v>
      </c>
    </row>
    <row r="6" spans="1:17" ht="18" x14ac:dyDescent="0.35">
      <c r="B6" t="s">
        <v>298</v>
      </c>
      <c r="C6"/>
      <c r="D6"/>
      <c r="E6"/>
      <c r="F6"/>
      <c r="G6"/>
      <c r="H6" s="176" t="s">
        <v>113</v>
      </c>
    </row>
    <row r="7" spans="1:17" ht="15" thickBot="1" x14ac:dyDescent="0.35">
      <c r="B7" t="s">
        <v>299</v>
      </c>
      <c r="C7"/>
      <c r="D7"/>
      <c r="E7"/>
      <c r="F7"/>
      <c r="G7"/>
      <c r="H7"/>
    </row>
    <row r="8" spans="1:17" ht="18.600000000000001" thickBot="1" x14ac:dyDescent="0.35">
      <c r="C8" s="224"/>
      <c r="D8" s="224"/>
      <c r="E8" s="224"/>
      <c r="F8" s="224"/>
      <c r="G8" s="225" t="s">
        <v>114</v>
      </c>
      <c r="H8" s="226">
        <v>5</v>
      </c>
      <c r="I8" s="226">
        <v>1</v>
      </c>
      <c r="J8" s="227"/>
      <c r="K8" s="226"/>
      <c r="L8" s="226"/>
      <c r="M8" s="226"/>
      <c r="N8" s="226"/>
      <c r="O8" s="226">
        <f>H8+I8+J8+K8+L8</f>
        <v>6</v>
      </c>
      <c r="P8" s="685" t="s">
        <v>115</v>
      </c>
      <c r="Q8" s="686"/>
    </row>
    <row r="9" spans="1:17" ht="18.600000000000001" thickBot="1" x14ac:dyDescent="0.35">
      <c r="C9" s="171"/>
      <c r="D9" s="90" t="s">
        <v>116</v>
      </c>
      <c r="E9" s="228" t="s">
        <v>117</v>
      </c>
      <c r="F9" s="229" t="s">
        <v>118</v>
      </c>
      <c r="G9" s="230">
        <f>H9*H8+I9*I8+J9*J8+K9*K8</f>
        <v>5.75</v>
      </c>
      <c r="H9" s="231">
        <v>1</v>
      </c>
      <c r="I9" s="231">
        <v>0.75</v>
      </c>
      <c r="J9" s="232"/>
      <c r="K9" s="231"/>
      <c r="L9" s="231"/>
      <c r="M9" s="231"/>
      <c r="N9" s="231"/>
      <c r="O9" s="233"/>
      <c r="P9" s="687" t="s">
        <v>119</v>
      </c>
      <c r="Q9" s="688"/>
    </row>
    <row r="10" spans="1:17" ht="18.600000000000001" thickBot="1" x14ac:dyDescent="0.35">
      <c r="C10" s="171"/>
      <c r="D10" s="101"/>
      <c r="E10" s="234"/>
      <c r="F10" s="235"/>
      <c r="G10" s="236" t="s">
        <v>120</v>
      </c>
      <c r="H10" s="307" t="s">
        <v>121</v>
      </c>
      <c r="I10" s="304"/>
      <c r="J10" s="304"/>
      <c r="K10" s="304"/>
      <c r="L10" s="304"/>
      <c r="M10" s="305"/>
      <c r="N10" s="306"/>
      <c r="O10" s="168"/>
    </row>
    <row r="11" spans="1:17" ht="18" x14ac:dyDescent="0.35">
      <c r="C11" s="76" t="s">
        <v>122</v>
      </c>
      <c r="D11" s="237" t="s">
        <v>6</v>
      </c>
      <c r="E11" s="238">
        <v>7</v>
      </c>
      <c r="F11" s="239">
        <v>1</v>
      </c>
      <c r="G11" s="240">
        <f>F11*5*6</f>
        <v>30</v>
      </c>
      <c r="H11" s="241">
        <f>G11/G9*H9</f>
        <v>5.2173913043478262</v>
      </c>
      <c r="I11" s="242">
        <f>G11/G9*I9</f>
        <v>3.9130434782608696</v>
      </c>
      <c r="J11" s="242">
        <f>G11/G9*J9</f>
        <v>0</v>
      </c>
      <c r="K11" s="242">
        <f>G11/G9*K9</f>
        <v>0</v>
      </c>
      <c r="L11" s="242">
        <f>G11/G9*L9</f>
        <v>0</v>
      </c>
      <c r="M11" s="243"/>
      <c r="N11" s="244"/>
    </row>
    <row r="12" spans="1:17" ht="18" x14ac:dyDescent="0.35">
      <c r="C12" s="75"/>
      <c r="D12" s="245" t="s">
        <v>123</v>
      </c>
      <c r="E12" s="246">
        <v>7</v>
      </c>
      <c r="F12" s="247">
        <v>1</v>
      </c>
      <c r="G12" s="240">
        <f>F12*5*6</f>
        <v>30</v>
      </c>
      <c r="H12" s="241">
        <f>G12/G9*H9</f>
        <v>5.2173913043478262</v>
      </c>
      <c r="I12" s="242">
        <f>G12/G9*I9</f>
        <v>3.9130434782608696</v>
      </c>
      <c r="J12" s="242">
        <f>G12/G9*J9</f>
        <v>0</v>
      </c>
      <c r="K12" s="242">
        <f>G12/G9*K9</f>
        <v>0</v>
      </c>
      <c r="L12" s="242">
        <f>G12/G9*L9</f>
        <v>0</v>
      </c>
      <c r="M12" s="243"/>
      <c r="N12" s="244"/>
    </row>
    <row r="13" spans="1:17" ht="18" x14ac:dyDescent="0.35">
      <c r="C13" s="75"/>
      <c r="D13" s="248" t="s">
        <v>9</v>
      </c>
      <c r="E13" s="249">
        <v>7</v>
      </c>
      <c r="F13" s="250">
        <v>1</v>
      </c>
      <c r="G13" s="240">
        <f>F13*5*6</f>
        <v>30</v>
      </c>
      <c r="H13" s="241">
        <f>G13/G9*H9</f>
        <v>5.2173913043478262</v>
      </c>
      <c r="I13" s="242">
        <f>G13/G9*I9</f>
        <v>3.9130434782608696</v>
      </c>
      <c r="J13" s="242">
        <f>G13/G9*J9</f>
        <v>0</v>
      </c>
      <c r="K13" s="242">
        <f>G13/G9*K9</f>
        <v>0</v>
      </c>
      <c r="L13" s="242">
        <f>G13/G9*L9</f>
        <v>0</v>
      </c>
      <c r="M13" s="243"/>
      <c r="N13" s="244"/>
    </row>
    <row r="14" spans="1:17" ht="18.600000000000001" thickBot="1" x14ac:dyDescent="0.4">
      <c r="C14" s="72"/>
      <c r="D14" s="251" t="s">
        <v>124</v>
      </c>
      <c r="E14" s="252">
        <v>7</v>
      </c>
      <c r="F14" s="253">
        <v>1</v>
      </c>
      <c r="G14" s="240">
        <f>F14*5*6</f>
        <v>30</v>
      </c>
      <c r="H14" s="241">
        <f>G14/G9*H9</f>
        <v>5.2173913043478262</v>
      </c>
      <c r="I14" s="242">
        <f>G14/G9*I9</f>
        <v>3.9130434782608696</v>
      </c>
      <c r="J14" s="242"/>
      <c r="K14" s="242"/>
      <c r="L14" s="242"/>
      <c r="M14" s="243"/>
      <c r="N14" s="244"/>
    </row>
    <row r="15" spans="1:17" ht="18" hidden="1" x14ac:dyDescent="0.35">
      <c r="C15" s="75"/>
      <c r="D15" s="254"/>
      <c r="E15" s="255"/>
      <c r="F15" s="256"/>
      <c r="G15" s="240">
        <f t="shared" ref="G15:G16" si="0">F15*5*12</f>
        <v>0</v>
      </c>
      <c r="H15" s="241">
        <f>G15/G9*H9</f>
        <v>0</v>
      </c>
      <c r="I15" s="242">
        <f>G15/G9*I9</f>
        <v>0</v>
      </c>
      <c r="J15" s="242"/>
      <c r="K15" s="242"/>
      <c r="L15" s="242"/>
      <c r="M15" s="243"/>
      <c r="N15" s="244"/>
    </row>
    <row r="16" spans="1:17" ht="18.600000000000001" hidden="1" thickBot="1" x14ac:dyDescent="0.4">
      <c r="C16" s="72"/>
      <c r="D16" s="257"/>
      <c r="E16" s="258"/>
      <c r="F16" s="259"/>
      <c r="G16" s="240">
        <f t="shared" si="0"/>
        <v>0</v>
      </c>
      <c r="H16" s="241">
        <f>G16/G9*H9</f>
        <v>0</v>
      </c>
      <c r="I16" s="242">
        <f>G16/G9*I9</f>
        <v>0</v>
      </c>
      <c r="J16" s="242"/>
      <c r="K16" s="242"/>
      <c r="L16" s="242"/>
      <c r="M16" s="243"/>
      <c r="N16" s="244"/>
    </row>
    <row r="17" spans="3:17" ht="18.600000000000001" thickBot="1" x14ac:dyDescent="0.4">
      <c r="C17" s="172"/>
      <c r="D17" s="260"/>
      <c r="E17" s="261"/>
      <c r="F17" s="262"/>
      <c r="G17" s="240">
        <f>F17*5*6</f>
        <v>0</v>
      </c>
      <c r="H17" s="241">
        <f>G17/G9*H9</f>
        <v>0</v>
      </c>
      <c r="I17" s="263">
        <f>G17/G9*I9</f>
        <v>0</v>
      </c>
      <c r="J17" s="263"/>
      <c r="K17" s="263"/>
      <c r="L17" s="263"/>
      <c r="M17" s="243"/>
      <c r="N17" s="244"/>
    </row>
    <row r="18" spans="3:17" ht="18" x14ac:dyDescent="0.35">
      <c r="C18" s="171"/>
      <c r="D18" s="689" t="s">
        <v>125</v>
      </c>
      <c r="E18" s="690"/>
      <c r="F18" s="264">
        <f>E11*F11+E12*F12+E13*F13+E14*F14+E15*F15+E16*F16</f>
        <v>28</v>
      </c>
      <c r="G18" s="240">
        <f>G11+G12+G13+G14+G15+G16+G17</f>
        <v>120</v>
      </c>
      <c r="H18" s="241">
        <f>H11+H12+H13+H14+H15+H16+H17</f>
        <v>20.869565217391305</v>
      </c>
      <c r="I18" s="241">
        <f>I11+I12+I13+I14+I15+I16+I17</f>
        <v>15.652173913043478</v>
      </c>
      <c r="J18" s="241">
        <f t="shared" ref="J18:L18" si="1">J11+J12+J13+J14+J15+J16</f>
        <v>0</v>
      </c>
      <c r="K18" s="241">
        <f t="shared" si="1"/>
        <v>0</v>
      </c>
      <c r="L18" s="241">
        <f t="shared" si="1"/>
        <v>0</v>
      </c>
      <c r="M18" s="243"/>
      <c r="N18" s="244">
        <f>H18*H8+I18*I8+J18*J8+K18*K8+L18*L8</f>
        <v>120.00000000000001</v>
      </c>
    </row>
    <row r="19" spans="3:17" ht="18" x14ac:dyDescent="0.35">
      <c r="C19" s="171"/>
      <c r="D19" s="265"/>
      <c r="E19" s="266"/>
      <c r="F19" s="267"/>
      <c r="G19" s="268"/>
      <c r="H19" s="241"/>
      <c r="I19" s="263"/>
      <c r="J19" s="263"/>
      <c r="K19" s="263"/>
      <c r="L19" s="242"/>
      <c r="M19" s="243"/>
      <c r="N19" s="244"/>
    </row>
    <row r="20" spans="3:17" ht="18.600000000000001" thickBot="1" x14ac:dyDescent="0.4">
      <c r="C20" s="171"/>
      <c r="D20" s="691" t="s">
        <v>276</v>
      </c>
      <c r="E20" s="692"/>
      <c r="F20" s="267">
        <f>E21*F21+E26*F26+E22*F22+E23*F23+E24*F24+E25*F25</f>
        <v>21</v>
      </c>
      <c r="G20" s="240">
        <f>G21+G22+G23+G24</f>
        <v>36</v>
      </c>
      <c r="H20" s="240">
        <f>H21+H22+H23+H24+H25+H26</f>
        <v>6.2608695652173907</v>
      </c>
      <c r="I20" s="240">
        <f>I21+I22+I23+I24+I25+I26</f>
        <v>4.695652173913043</v>
      </c>
      <c r="J20" s="240">
        <f t="shared" ref="J20:L20" si="2">J21+J22+J23+J24</f>
        <v>0</v>
      </c>
      <c r="K20" s="240">
        <f t="shared" si="2"/>
        <v>0</v>
      </c>
      <c r="L20" s="240">
        <f t="shared" si="2"/>
        <v>0</v>
      </c>
      <c r="M20" s="243"/>
      <c r="N20" s="244">
        <f>H20*H8+I20*I8+J20*J8+K20*K8+L20*L8</f>
        <v>36</v>
      </c>
    </row>
    <row r="21" spans="3:17" ht="18" x14ac:dyDescent="0.35">
      <c r="C21" s="76" t="s">
        <v>127</v>
      </c>
      <c r="D21" s="237" t="s">
        <v>6</v>
      </c>
      <c r="E21" s="238">
        <v>7</v>
      </c>
      <c r="F21" s="239">
        <v>1</v>
      </c>
      <c r="G21" s="240">
        <f>F21*2*6</f>
        <v>12</v>
      </c>
      <c r="H21" s="241">
        <f>G21/G9*H9</f>
        <v>2.0869565217391304</v>
      </c>
      <c r="I21" s="242">
        <f>G21/G9*I9</f>
        <v>1.5652173913043477</v>
      </c>
      <c r="J21" s="242">
        <f>G21/G9*J9</f>
        <v>0</v>
      </c>
      <c r="K21" s="242">
        <f>G21/G9*K9</f>
        <v>0</v>
      </c>
      <c r="L21" s="242">
        <f>G21/G9*L9</f>
        <v>0</v>
      </c>
      <c r="M21" s="243"/>
      <c r="N21" s="244">
        <f>G21/G9*N9</f>
        <v>0</v>
      </c>
      <c r="Q21" s="175"/>
    </row>
    <row r="22" spans="3:17" ht="18" x14ac:dyDescent="0.35">
      <c r="C22" s="75"/>
      <c r="D22" s="245" t="s">
        <v>123</v>
      </c>
      <c r="E22" s="246">
        <v>7</v>
      </c>
      <c r="F22" s="247">
        <v>1</v>
      </c>
      <c r="G22" s="240">
        <f>F22*2*6</f>
        <v>12</v>
      </c>
      <c r="H22" s="241">
        <f>G22/G9*H9</f>
        <v>2.0869565217391304</v>
      </c>
      <c r="I22" s="242">
        <f>G22/G9*I9</f>
        <v>1.5652173913043477</v>
      </c>
      <c r="J22" s="242">
        <f>G22/G9*J9</f>
        <v>0</v>
      </c>
      <c r="K22" s="242">
        <f>G22/G9*K9</f>
        <v>0</v>
      </c>
      <c r="L22" s="242">
        <f>G22/G9*L9</f>
        <v>0</v>
      </c>
      <c r="M22" s="269"/>
      <c r="N22" s="270"/>
    </row>
    <row r="23" spans="3:17" ht="18" x14ac:dyDescent="0.35">
      <c r="C23" s="75"/>
      <c r="D23" s="248" t="s">
        <v>9</v>
      </c>
      <c r="E23" s="249">
        <v>7</v>
      </c>
      <c r="F23" s="250">
        <v>1</v>
      </c>
      <c r="G23" s="240">
        <f>F23*2*6</f>
        <v>12</v>
      </c>
      <c r="H23" s="241">
        <f>G23/G9*H9</f>
        <v>2.0869565217391304</v>
      </c>
      <c r="I23" s="242">
        <f>G23/G9*I9</f>
        <v>1.5652173913043477</v>
      </c>
      <c r="J23" s="242"/>
      <c r="K23" s="242"/>
      <c r="L23" s="242"/>
      <c r="M23" s="269"/>
      <c r="N23" s="270"/>
    </row>
    <row r="24" spans="3:17" ht="18" x14ac:dyDescent="0.35">
      <c r="C24" s="75"/>
      <c r="D24" s="251"/>
      <c r="E24" s="252"/>
      <c r="F24" s="253"/>
      <c r="G24" s="240">
        <f t="shared" ref="G24:G26" si="3">F24*2*12</f>
        <v>0</v>
      </c>
      <c r="H24" s="241">
        <f>G24/G9*H9</f>
        <v>0</v>
      </c>
      <c r="I24" s="242">
        <f>G24/G9*I9</f>
        <v>0</v>
      </c>
      <c r="J24" s="242"/>
      <c r="K24" s="242"/>
      <c r="L24" s="242"/>
      <c r="M24" s="269"/>
      <c r="N24" s="270"/>
    </row>
    <row r="25" spans="3:17" ht="18" x14ac:dyDescent="0.35">
      <c r="C25" s="75"/>
      <c r="D25" s="254"/>
      <c r="E25" s="255"/>
      <c r="F25" s="256"/>
      <c r="G25" s="240">
        <f t="shared" si="3"/>
        <v>0</v>
      </c>
      <c r="H25" s="241">
        <f>G25/G9*H9</f>
        <v>0</v>
      </c>
      <c r="I25" s="242">
        <f>G25/G9*I9</f>
        <v>0</v>
      </c>
      <c r="J25" s="242"/>
      <c r="K25" s="242"/>
      <c r="L25" s="271"/>
      <c r="M25" s="269"/>
      <c r="N25" s="270"/>
    </row>
    <row r="26" spans="3:17" ht="18.600000000000001" thickBot="1" x14ac:dyDescent="0.4">
      <c r="C26" s="14"/>
      <c r="D26" s="272"/>
      <c r="E26" s="273"/>
      <c r="F26" s="274"/>
      <c r="G26" s="240">
        <f t="shared" si="3"/>
        <v>0</v>
      </c>
      <c r="H26" s="241">
        <f>G26/G13*H13</f>
        <v>0</v>
      </c>
      <c r="I26" s="242">
        <f>G26/G13*I13</f>
        <v>0</v>
      </c>
      <c r="J26" s="242">
        <f>G26/G13*J13</f>
        <v>0</v>
      </c>
      <c r="K26" s="242">
        <f>G26/G13*K13</f>
        <v>0</v>
      </c>
      <c r="L26" s="275">
        <f>G26/G9*L9</f>
        <v>0</v>
      </c>
      <c r="M26" s="276"/>
      <c r="N26" s="277">
        <f>G26/G9*N9</f>
        <v>0</v>
      </c>
    </row>
    <row r="27" spans="3:17" ht="15" thickBot="1" x14ac:dyDescent="0.35">
      <c r="C27"/>
      <c r="D27" s="168"/>
      <c r="E27" s="168"/>
      <c r="H27"/>
    </row>
    <row r="28" spans="3:17" ht="15" thickBot="1" x14ac:dyDescent="0.35">
      <c r="C28"/>
      <c r="D28" s="168"/>
      <c r="E28" s="168"/>
      <c r="H28"/>
      <c r="P28" s="10" t="s">
        <v>128</v>
      </c>
      <c r="Q28" s="46"/>
    </row>
    <row r="29" spans="3:17" ht="18.600000000000001" thickBot="1" x14ac:dyDescent="0.4">
      <c r="C29"/>
      <c r="D29" s="168"/>
      <c r="E29" s="693" t="s">
        <v>129</v>
      </c>
      <c r="F29" s="694"/>
      <c r="G29" s="695"/>
      <c r="H29" s="278">
        <f>H11+H12+H13+H21+H26+H14+H15+H22+H23+H24+H16+H17</f>
        <v>27.130434782608695</v>
      </c>
      <c r="I29" s="278">
        <f>I11+I12+I13+I21+I26+I14+I15+I22+I23+I24+I16+I17</f>
        <v>20.347826086956523</v>
      </c>
      <c r="J29" s="278">
        <f t="shared" ref="J29:K29" si="4">J11+J12+J13+J21+J26+J14+J15+J22+J23+J24</f>
        <v>0</v>
      </c>
      <c r="K29" s="278">
        <f t="shared" si="4"/>
        <v>0</v>
      </c>
      <c r="L29" s="278">
        <f>L11+L12+L13+L14+L15+L21+L22+L23+L24</f>
        <v>0</v>
      </c>
      <c r="M29" s="279"/>
      <c r="N29" s="280">
        <f>N11+N12+N13+N21+N26</f>
        <v>0</v>
      </c>
      <c r="P29" s="281">
        <f>6*5</f>
        <v>30</v>
      </c>
      <c r="Q29" s="282"/>
    </row>
    <row r="30" spans="3:17" ht="15" thickBot="1" x14ac:dyDescent="0.35">
      <c r="C30"/>
      <c r="D30"/>
      <c r="E30"/>
      <c r="H30"/>
    </row>
    <row r="31" spans="3:17" ht="36.6" thickBot="1" x14ac:dyDescent="0.35">
      <c r="G31" s="283" t="s">
        <v>130</v>
      </c>
      <c r="H31" s="284">
        <f>E11*H11+E12*H12+E13*H13+E21*H21+E26*H26+H14*E14+H15*E15+H22*E22+H23*E23+H24*E24</f>
        <v>189.91304347826085</v>
      </c>
      <c r="I31" s="284">
        <f>E11*I11+E12*I12+E13*I13+E14*I14+E15*I15+E21*I21+E22*I22+E23*I23+E24*I24+E25*I25</f>
        <v>142.43478260869566</v>
      </c>
      <c r="J31" s="284">
        <f>E11*J11+E12*J12+E13*J13+E14*J14+E15*J15+E21*J21+E22*J22+E23*J23+E24*J24+E25*J25</f>
        <v>0</v>
      </c>
      <c r="K31" s="284">
        <f>E11*K11+E12*K12+E13*K13+E14*K14+E15*K15+E21*K21+E22*K22+E23*K23+E24*K24+E25*K25</f>
        <v>0</v>
      </c>
      <c r="L31" s="284">
        <f>E11*L11+E12*L12+E13*L13+E14*L14+E15*L15+E21*L21+E22*L22+E23*L23+E24*L24+E25*L25</f>
        <v>0</v>
      </c>
      <c r="M31" s="285"/>
      <c r="N31" s="286">
        <f>F11*N11+F12*N12+F13*N13+F21*N21+F26*N26</f>
        <v>0</v>
      </c>
      <c r="O31" s="30"/>
      <c r="P31" s="30"/>
      <c r="Q31" s="30"/>
    </row>
    <row r="32" spans="3:17" ht="18.600000000000001" thickBot="1" x14ac:dyDescent="0.35">
      <c r="C32"/>
      <c r="D32"/>
      <c r="E32"/>
      <c r="F32"/>
      <c r="G32" s="287" t="s">
        <v>131</v>
      </c>
      <c r="H32" s="288">
        <f>35*6</f>
        <v>210</v>
      </c>
      <c r="I32" s="288">
        <f>H32*I9</f>
        <v>157.5</v>
      </c>
      <c r="J32" s="288">
        <f>H32*J9</f>
        <v>0</v>
      </c>
      <c r="K32" s="288">
        <f>H32*K9</f>
        <v>0</v>
      </c>
      <c r="L32" s="288">
        <f>H32*L9</f>
        <v>0</v>
      </c>
      <c r="M32" s="289"/>
      <c r="N32" s="290"/>
    </row>
    <row r="33" spans="3:14" x14ac:dyDescent="0.3">
      <c r="C33"/>
      <c r="D33"/>
      <c r="E33"/>
      <c r="F33" s="146" t="s">
        <v>132</v>
      </c>
      <c r="G33" s="291" t="s">
        <v>133</v>
      </c>
      <c r="H33" s="33">
        <f>H32-H31</f>
        <v>20.086956521739154</v>
      </c>
      <c r="I33" s="33">
        <f>I32-I31</f>
        <v>15.065217391304344</v>
      </c>
      <c r="J33" s="33">
        <f t="shared" ref="J33:L33" si="5">J32-J31</f>
        <v>0</v>
      </c>
      <c r="K33" s="33">
        <f t="shared" si="5"/>
        <v>0</v>
      </c>
      <c r="L33" s="34">
        <f t="shared" si="5"/>
        <v>0</v>
      </c>
    </row>
    <row r="34" spans="3:14" ht="15" thickBot="1" x14ac:dyDescent="0.35">
      <c r="C34"/>
      <c r="D34"/>
      <c r="E34"/>
      <c r="F34"/>
      <c r="G34" s="292" t="s">
        <v>134</v>
      </c>
      <c r="H34" s="41">
        <f>H33*H8</f>
        <v>100.43478260869577</v>
      </c>
      <c r="I34" s="41">
        <f>I33*I8</f>
        <v>15.065217391304344</v>
      </c>
      <c r="J34" s="41">
        <f>J33*J8</f>
        <v>0</v>
      </c>
      <c r="K34" s="41">
        <f>K33*K8</f>
        <v>0</v>
      </c>
      <c r="L34" s="42">
        <f>L33*L8</f>
        <v>0</v>
      </c>
    </row>
    <row r="35" spans="3:14" x14ac:dyDescent="0.3">
      <c r="C35"/>
      <c r="D35"/>
      <c r="E35"/>
      <c r="F35"/>
      <c r="G35" s="291" t="s">
        <v>135</v>
      </c>
      <c r="H35" s="34">
        <f>H34+I34+J34+K34+L34</f>
        <v>115.50000000000011</v>
      </c>
      <c r="I35" s="293"/>
      <c r="J35" s="294"/>
      <c r="K35" s="295"/>
    </row>
    <row r="36" spans="3:14" ht="15" thickBot="1" x14ac:dyDescent="0.35">
      <c r="C36"/>
      <c r="D36"/>
      <c r="E36"/>
      <c r="F36"/>
      <c r="G36" s="292" t="s">
        <v>136</v>
      </c>
      <c r="H36" s="42">
        <f>H35/6*52</f>
        <v>1001.0000000000009</v>
      </c>
      <c r="I36" s="296"/>
      <c r="J36" s="297"/>
      <c r="K36" s="298"/>
    </row>
    <row r="37" spans="3:14" ht="15" thickBot="1" x14ac:dyDescent="0.35">
      <c r="C37"/>
      <c r="D37"/>
      <c r="E37"/>
      <c r="F37"/>
      <c r="G37" s="53" t="s">
        <v>137</v>
      </c>
      <c r="H37" s="54">
        <f>H36/1820</f>
        <v>0.55000000000000049</v>
      </c>
      <c r="I37" s="44" t="s">
        <v>138</v>
      </c>
      <c r="J37" s="70"/>
      <c r="K37" s="43"/>
    </row>
    <row r="38" spans="3:14" ht="15" thickBot="1" x14ac:dyDescent="0.35">
      <c r="C38"/>
      <c r="D38"/>
      <c r="E38"/>
      <c r="F38"/>
      <c r="G38" s="299"/>
      <c r="H38" s="300"/>
      <c r="I38" s="301"/>
      <c r="J38" s="11"/>
      <c r="K38" s="12"/>
    </row>
    <row r="39" spans="3:14" ht="15" thickBot="1" x14ac:dyDescent="0.35">
      <c r="C39"/>
      <c r="D39"/>
      <c r="E39"/>
      <c r="F39"/>
      <c r="G39" s="53"/>
      <c r="H39" s="300"/>
      <c r="I39" s="44"/>
      <c r="J39" s="70"/>
      <c r="K39" s="43"/>
    </row>
    <row r="40" spans="3:14" ht="15" thickBot="1" x14ac:dyDescent="0.35">
      <c r="C40"/>
      <c r="D40"/>
      <c r="E40"/>
      <c r="F40"/>
      <c r="G40"/>
      <c r="H40" s="45"/>
      <c r="I40" s="281"/>
      <c r="J40" s="302"/>
      <c r="K40" s="282"/>
    </row>
    <row r="41" spans="3:14" x14ac:dyDescent="0.3">
      <c r="C41"/>
      <c r="D41"/>
      <c r="E41"/>
      <c r="F41"/>
      <c r="G41"/>
      <c r="H41"/>
    </row>
    <row r="42" spans="3:14" x14ac:dyDescent="0.3">
      <c r="C42"/>
      <c r="D42"/>
      <c r="E42"/>
      <c r="F42"/>
      <c r="G42" s="11"/>
      <c r="H42" s="11"/>
      <c r="I42" s="11"/>
      <c r="J42" s="11"/>
      <c r="K42" s="11"/>
      <c r="L42" s="11"/>
      <c r="M42" s="11"/>
      <c r="N42" s="11"/>
    </row>
    <row r="43" spans="3:14" x14ac:dyDescent="0.3">
      <c r="C43"/>
      <c r="D43"/>
      <c r="E43"/>
      <c r="F43"/>
      <c r="G43" s="11"/>
      <c r="H43" s="11"/>
      <c r="I43" s="303"/>
      <c r="J43" s="11"/>
      <c r="K43" s="11"/>
      <c r="L43" s="11"/>
      <c r="M43" s="11"/>
      <c r="N43" s="11"/>
    </row>
  </sheetData>
  <mergeCells count="5">
    <mergeCell ref="P8:Q8"/>
    <mergeCell ref="P9:Q9"/>
    <mergeCell ref="D18:E18"/>
    <mergeCell ref="D20:E20"/>
    <mergeCell ref="E29:G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P34"/>
  <sheetViews>
    <sheetView topLeftCell="A4" workbookViewId="0">
      <selection activeCell="J13" sqref="J13"/>
    </sheetView>
  </sheetViews>
  <sheetFormatPr baseColWidth="10" defaultRowHeight="14.4" x14ac:dyDescent="0.3"/>
  <cols>
    <col min="3" max="8" width="11.5546875" style="30"/>
    <col min="10" max="10" width="11.44140625" customWidth="1"/>
    <col min="11" max="11" width="12.44140625" customWidth="1"/>
    <col min="12" max="13" width="11.5546875" customWidth="1"/>
    <col min="14" max="15" width="11.44140625" customWidth="1"/>
  </cols>
  <sheetData>
    <row r="2" spans="3:16" ht="31.2" x14ac:dyDescent="0.3">
      <c r="D2" s="61" t="s">
        <v>139</v>
      </c>
    </row>
    <row r="3" spans="3:16" x14ac:dyDescent="0.3">
      <c r="K3" t="s">
        <v>295</v>
      </c>
      <c r="L3" t="s">
        <v>296</v>
      </c>
      <c r="M3" s="30"/>
      <c r="N3" s="30"/>
      <c r="O3" s="647" t="s">
        <v>300</v>
      </c>
      <c r="P3" s="30"/>
    </row>
    <row r="4" spans="3:16" x14ac:dyDescent="0.3">
      <c r="L4" t="s">
        <v>297</v>
      </c>
      <c r="M4" s="30"/>
      <c r="N4" s="30"/>
      <c r="O4" s="647" t="s">
        <v>301</v>
      </c>
      <c r="P4" s="30"/>
    </row>
    <row r="5" spans="3:16" x14ac:dyDescent="0.3">
      <c r="L5" t="s">
        <v>298</v>
      </c>
    </row>
    <row r="6" spans="3:16" ht="18.600000000000001" thickBot="1" x14ac:dyDescent="0.4">
      <c r="C6" s="696" t="s">
        <v>140</v>
      </c>
      <c r="D6" s="697"/>
      <c r="E6" s="697"/>
      <c r="F6" s="697"/>
      <c r="G6" s="698"/>
      <c r="H6" s="698"/>
      <c r="L6" t="s">
        <v>299</v>
      </c>
    </row>
    <row r="7" spans="3:16" ht="18.600000000000001" thickBot="1" x14ac:dyDescent="0.35">
      <c r="C7" s="171"/>
      <c r="D7" s="90" t="s">
        <v>116</v>
      </c>
      <c r="E7" s="228" t="s">
        <v>117</v>
      </c>
      <c r="F7" s="229" t="s">
        <v>118</v>
      </c>
      <c r="G7" s="699">
        <v>1</v>
      </c>
      <c r="H7" s="700"/>
      <c r="M7" s="224"/>
      <c r="N7" s="224"/>
      <c r="O7" s="224"/>
      <c r="P7" s="224"/>
    </row>
    <row r="8" spans="3:16" ht="18.600000000000001" thickBot="1" x14ac:dyDescent="0.35">
      <c r="C8" s="171"/>
      <c r="D8" s="101"/>
      <c r="E8" s="234"/>
      <c r="F8" s="308"/>
      <c r="G8" s="47"/>
      <c r="H8"/>
    </row>
    <row r="9" spans="3:16" ht="18" x14ac:dyDescent="0.3">
      <c r="C9" s="76" t="s">
        <v>122</v>
      </c>
      <c r="D9" s="237" t="s">
        <v>6</v>
      </c>
      <c r="E9" s="238">
        <v>7</v>
      </c>
      <c r="F9" s="239">
        <v>1</v>
      </c>
      <c r="G9" s="309">
        <v>5</v>
      </c>
      <c r="H9" s="701">
        <f>G9*E9+G10*E10+G11*E11+G12*E12</f>
        <v>140</v>
      </c>
    </row>
    <row r="10" spans="3:16" ht="18" x14ac:dyDescent="0.3">
      <c r="C10" s="75"/>
      <c r="D10" s="245" t="s">
        <v>123</v>
      </c>
      <c r="E10" s="246">
        <v>7</v>
      </c>
      <c r="F10" s="247">
        <v>1</v>
      </c>
      <c r="G10" s="310">
        <v>5</v>
      </c>
      <c r="H10" s="702"/>
    </row>
    <row r="11" spans="3:16" ht="18" x14ac:dyDescent="0.3">
      <c r="C11" s="75"/>
      <c r="D11" s="248" t="s">
        <v>9</v>
      </c>
      <c r="E11" s="249">
        <v>7</v>
      </c>
      <c r="F11" s="250">
        <v>1</v>
      </c>
      <c r="G11" s="310">
        <v>5</v>
      </c>
      <c r="H11" s="702"/>
    </row>
    <row r="12" spans="3:16" ht="18.600000000000001" thickBot="1" x14ac:dyDescent="0.35">
      <c r="C12" s="75"/>
      <c r="D12" s="311" t="s">
        <v>124</v>
      </c>
      <c r="E12" s="312">
        <v>7</v>
      </c>
      <c r="F12" s="313">
        <v>1</v>
      </c>
      <c r="G12" s="314">
        <v>5</v>
      </c>
      <c r="H12" s="703"/>
    </row>
    <row r="13" spans="3:16" ht="18" x14ac:dyDescent="0.3">
      <c r="C13" s="75"/>
      <c r="D13" s="315" t="s">
        <v>141</v>
      </c>
      <c r="E13" s="316">
        <v>7</v>
      </c>
      <c r="F13" s="317"/>
      <c r="G13" s="318">
        <v>4</v>
      </c>
      <c r="H13" s="319">
        <f>G13*E13</f>
        <v>28</v>
      </c>
    </row>
    <row r="14" spans="3:16" ht="18.600000000000001" thickBot="1" x14ac:dyDescent="0.35">
      <c r="C14" s="75"/>
      <c r="D14" s="272"/>
      <c r="E14" s="273"/>
      <c r="F14" s="274"/>
      <c r="G14" s="314"/>
      <c r="H14" s="50"/>
    </row>
    <row r="15" spans="3:16" ht="18.600000000000001" thickBot="1" x14ac:dyDescent="0.35">
      <c r="C15" s="72"/>
      <c r="D15" s="320"/>
      <c r="E15" s="321"/>
      <c r="F15" s="322"/>
      <c r="G15" s="50"/>
      <c r="H15" s="323"/>
    </row>
    <row r="16" spans="3:16" ht="18" x14ac:dyDescent="0.3">
      <c r="C16" s="172"/>
      <c r="D16" s="324"/>
      <c r="E16" s="325"/>
      <c r="F16" s="326"/>
      <c r="G16" s="319"/>
      <c r="H16" s="303"/>
    </row>
    <row r="17" spans="3:8" ht="18" x14ac:dyDescent="0.3">
      <c r="C17" s="172"/>
      <c r="D17" s="327"/>
      <c r="E17" s="328"/>
      <c r="F17" s="329"/>
      <c r="G17" s="318"/>
    </row>
    <row r="18" spans="3:8" ht="18" x14ac:dyDescent="0.3">
      <c r="C18" s="171"/>
      <c r="D18" s="691" t="s">
        <v>125</v>
      </c>
      <c r="E18" s="692"/>
      <c r="F18" s="330">
        <f>E9*F9+E10*F10+E12*F12+E13*F13+E14*F14+E15*F15+E17*F17</f>
        <v>21</v>
      </c>
      <c r="G18" s="310"/>
    </row>
    <row r="19" spans="3:8" ht="18" x14ac:dyDescent="0.3">
      <c r="C19" s="171"/>
      <c r="D19" s="265"/>
      <c r="E19" s="266"/>
      <c r="F19" s="330"/>
      <c r="G19" s="310"/>
    </row>
    <row r="20" spans="3:8" ht="18.600000000000001" thickBot="1" x14ac:dyDescent="0.35">
      <c r="C20" s="171"/>
      <c r="D20" s="708" t="s">
        <v>126</v>
      </c>
      <c r="E20" s="709"/>
      <c r="F20" s="308">
        <f>E21*F21+E27*F27+E22*F22+E24*F24+E25*F25+E26*F26</f>
        <v>14</v>
      </c>
      <c r="G20" s="331"/>
    </row>
    <row r="21" spans="3:8" ht="18" x14ac:dyDescent="0.3">
      <c r="C21" s="76" t="s">
        <v>127</v>
      </c>
      <c r="D21" s="237" t="s">
        <v>6</v>
      </c>
      <c r="E21" s="238">
        <v>7</v>
      </c>
      <c r="F21" s="239">
        <v>1</v>
      </c>
      <c r="G21" s="309">
        <v>2</v>
      </c>
      <c r="H21" s="701">
        <f>G21*E21+G22*E22+G23*E23</f>
        <v>42</v>
      </c>
    </row>
    <row r="22" spans="3:8" ht="18" x14ac:dyDescent="0.3">
      <c r="C22" s="75"/>
      <c r="D22" s="245" t="s">
        <v>123</v>
      </c>
      <c r="E22" s="246">
        <v>7</v>
      </c>
      <c r="F22" s="247">
        <v>1</v>
      </c>
      <c r="G22" s="310">
        <v>2</v>
      </c>
      <c r="H22" s="702"/>
    </row>
    <row r="23" spans="3:8" ht="18.600000000000001" thickBot="1" x14ac:dyDescent="0.35">
      <c r="C23" s="75"/>
      <c r="D23" s="332" t="s">
        <v>9</v>
      </c>
      <c r="E23" s="333">
        <v>7</v>
      </c>
      <c r="F23" s="334">
        <v>1</v>
      </c>
      <c r="G23" s="314">
        <v>2</v>
      </c>
      <c r="H23" s="703"/>
    </row>
    <row r="24" spans="3:8" ht="18" x14ac:dyDescent="0.3">
      <c r="C24" s="75"/>
      <c r="D24" s="335"/>
      <c r="E24" s="336"/>
      <c r="F24" s="337"/>
      <c r="G24" s="309"/>
      <c r="H24" s="701"/>
    </row>
    <row r="25" spans="3:8" ht="18" x14ac:dyDescent="0.3">
      <c r="C25" s="75"/>
      <c r="D25" s="254"/>
      <c r="E25" s="255"/>
      <c r="F25" s="256"/>
      <c r="G25" s="310"/>
      <c r="H25" s="702"/>
    </row>
    <row r="26" spans="3:8" ht="18.600000000000001" thickBot="1" x14ac:dyDescent="0.35">
      <c r="C26" s="75"/>
      <c r="D26" s="272"/>
      <c r="E26" s="273"/>
      <c r="F26" s="274"/>
      <c r="G26" s="314"/>
      <c r="H26" s="703"/>
    </row>
    <row r="27" spans="3:8" ht="18.600000000000001" thickBot="1" x14ac:dyDescent="0.35">
      <c r="C27" s="14"/>
      <c r="D27" s="320"/>
      <c r="E27" s="321"/>
      <c r="F27" s="322"/>
      <c r="G27" s="50"/>
      <c r="H27" s="50"/>
    </row>
    <row r="28" spans="3:8" x14ac:dyDescent="0.3">
      <c r="C28"/>
      <c r="D28"/>
      <c r="E28"/>
      <c r="F28"/>
      <c r="G28"/>
      <c r="H28"/>
    </row>
    <row r="29" spans="3:8" ht="15" thickBot="1" x14ac:dyDescent="0.35">
      <c r="C29"/>
      <c r="D29"/>
      <c r="E29"/>
      <c r="F29"/>
      <c r="G29"/>
      <c r="H29"/>
    </row>
    <row r="30" spans="3:8" ht="18.600000000000001" thickBot="1" x14ac:dyDescent="0.35">
      <c r="C30"/>
      <c r="D30" s="693" t="s">
        <v>129</v>
      </c>
      <c r="E30" s="694"/>
      <c r="F30" s="695"/>
      <c r="G30" s="284">
        <f>G9+G10+G11+G12+G13+G14+G15+G21+G22+G23+G24+G25+G26+G27</f>
        <v>30</v>
      </c>
      <c r="H30" s="11"/>
    </row>
    <row r="31" spans="3:8" ht="15" thickBot="1" x14ac:dyDescent="0.35">
      <c r="C31"/>
      <c r="D31"/>
      <c r="H31" s="11"/>
    </row>
    <row r="32" spans="3:8" ht="18" x14ac:dyDescent="0.3">
      <c r="E32" s="710" t="s">
        <v>130</v>
      </c>
      <c r="F32" s="711"/>
      <c r="G32" s="338">
        <f>H21+H9+H13</f>
        <v>210</v>
      </c>
      <c r="H32" s="303"/>
    </row>
    <row r="33" spans="3:8" ht="18" x14ac:dyDescent="0.3">
      <c r="C33"/>
      <c r="D33"/>
      <c r="E33" s="704" t="s">
        <v>142</v>
      </c>
      <c r="F33" s="705"/>
      <c r="G33" s="339">
        <f>35*6</f>
        <v>210</v>
      </c>
      <c r="H33" s="11"/>
    </row>
    <row r="34" spans="3:8" ht="16.2" thickBot="1" x14ac:dyDescent="0.35">
      <c r="C34"/>
      <c r="D34"/>
      <c r="E34" s="706" t="s">
        <v>143</v>
      </c>
      <c r="F34" s="707"/>
      <c r="G34" s="340">
        <f>G32-G33</f>
        <v>0</v>
      </c>
      <c r="H34" s="11"/>
    </row>
  </sheetData>
  <mergeCells count="11">
    <mergeCell ref="C6:H6"/>
    <mergeCell ref="G7:H7"/>
    <mergeCell ref="H9:H12"/>
    <mergeCell ref="E33:F33"/>
    <mergeCell ref="E34:F34"/>
    <mergeCell ref="D18:E18"/>
    <mergeCell ref="D20:E20"/>
    <mergeCell ref="H21:H23"/>
    <mergeCell ref="H24:H26"/>
    <mergeCell ref="D30:F30"/>
    <mergeCell ref="E32:F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U44"/>
  <sheetViews>
    <sheetView zoomScale="60" zoomScaleNormal="60" workbookViewId="0">
      <selection activeCell="R28" sqref="R28"/>
    </sheetView>
  </sheetViews>
  <sheetFormatPr baseColWidth="10" defaultRowHeight="14.4" x14ac:dyDescent="0.3"/>
  <cols>
    <col min="3" max="8" width="11.5546875" style="30"/>
    <col min="14" max="15" width="11.44140625" customWidth="1"/>
  </cols>
  <sheetData>
    <row r="2" spans="3:21" ht="31.2" x14ac:dyDescent="0.3">
      <c r="D2" s="61" t="s">
        <v>144</v>
      </c>
    </row>
    <row r="3" spans="3:21" x14ac:dyDescent="0.3">
      <c r="P3" t="s">
        <v>295</v>
      </c>
      <c r="Q3" t="s">
        <v>296</v>
      </c>
      <c r="R3" s="30"/>
      <c r="S3" s="30"/>
      <c r="T3" s="647" t="s">
        <v>300</v>
      </c>
      <c r="U3" s="30"/>
    </row>
    <row r="4" spans="3:21" x14ac:dyDescent="0.3">
      <c r="Q4" t="s">
        <v>297</v>
      </c>
      <c r="R4" s="30"/>
      <c r="S4" s="30"/>
      <c r="T4" s="647" t="s">
        <v>301</v>
      </c>
      <c r="U4" s="30"/>
    </row>
    <row r="5" spans="3:21" x14ac:dyDescent="0.3">
      <c r="Q5" t="s">
        <v>298</v>
      </c>
    </row>
    <row r="6" spans="3:21" x14ac:dyDescent="0.3">
      <c r="Q6" t="s">
        <v>299</v>
      </c>
    </row>
    <row r="7" spans="3:21" ht="18" x14ac:dyDescent="0.3">
      <c r="C7"/>
      <c r="D7"/>
      <c r="E7"/>
      <c r="F7"/>
      <c r="G7" s="712" t="s">
        <v>159</v>
      </c>
      <c r="H7" s="712"/>
      <c r="I7" s="712"/>
      <c r="K7" t="s">
        <v>145</v>
      </c>
      <c r="L7" s="30"/>
      <c r="R7" s="224"/>
      <c r="S7" s="224"/>
      <c r="T7" s="224"/>
      <c r="U7" s="224"/>
    </row>
    <row r="8" spans="3:21" x14ac:dyDescent="0.3">
      <c r="C8"/>
      <c r="D8"/>
      <c r="E8"/>
      <c r="F8"/>
      <c r="G8" s="712"/>
      <c r="H8" s="712"/>
      <c r="I8" s="712"/>
      <c r="K8" t="s">
        <v>146</v>
      </c>
      <c r="L8" s="30"/>
    </row>
    <row r="9" spans="3:21" x14ac:dyDescent="0.3">
      <c r="C9"/>
      <c r="D9"/>
      <c r="E9"/>
      <c r="F9"/>
      <c r="G9"/>
      <c r="H9"/>
      <c r="K9" t="s">
        <v>160</v>
      </c>
      <c r="L9" s="30"/>
    </row>
    <row r="10" spans="3:21" ht="15" thickBot="1" x14ac:dyDescent="0.35">
      <c r="C10"/>
      <c r="D10"/>
      <c r="E10"/>
      <c r="F10"/>
      <c r="G10"/>
      <c r="H10"/>
      <c r="L10" s="30"/>
    </row>
    <row r="11" spans="3:21" ht="36.6" thickBot="1" x14ac:dyDescent="0.35">
      <c r="C11" s="105"/>
      <c r="D11" s="343"/>
      <c r="E11" s="152" t="s">
        <v>147</v>
      </c>
      <c r="F11" s="153" t="s">
        <v>148</v>
      </c>
      <c r="G11" s="153" t="s">
        <v>149</v>
      </c>
      <c r="H11" s="153" t="s">
        <v>150</v>
      </c>
      <c r="I11" s="153" t="s">
        <v>151</v>
      </c>
      <c r="J11" s="153" t="s">
        <v>152</v>
      </c>
      <c r="K11" s="344" t="s">
        <v>153</v>
      </c>
      <c r="L11" s="197" t="s">
        <v>154</v>
      </c>
      <c r="M11" s="345" t="s">
        <v>155</v>
      </c>
    </row>
    <row r="12" spans="3:21" ht="18.600000000000001" thickBot="1" x14ac:dyDescent="0.35">
      <c r="C12"/>
      <c r="D12" s="189">
        <v>1</v>
      </c>
      <c r="E12" s="346" t="s">
        <v>9</v>
      </c>
      <c r="F12" s="347"/>
      <c r="G12" s="346" t="s">
        <v>9</v>
      </c>
      <c r="H12" s="346" t="s">
        <v>9</v>
      </c>
      <c r="I12" s="346" t="s">
        <v>9</v>
      </c>
      <c r="J12" s="348"/>
      <c r="K12" s="349"/>
      <c r="L12" s="341"/>
      <c r="M12" s="157"/>
    </row>
    <row r="13" spans="3:21" ht="18.600000000000001" thickBot="1" x14ac:dyDescent="0.35">
      <c r="C13"/>
      <c r="D13" s="350"/>
      <c r="E13" s="351">
        <v>7</v>
      </c>
      <c r="F13" s="352"/>
      <c r="G13" s="351">
        <v>7</v>
      </c>
      <c r="H13" s="351">
        <v>7</v>
      </c>
      <c r="I13" s="351">
        <v>7</v>
      </c>
      <c r="J13" s="353"/>
      <c r="K13" s="354"/>
      <c r="L13" s="72">
        <f>SUM(E13:K13)</f>
        <v>28</v>
      </c>
      <c r="M13" s="157"/>
    </row>
    <row r="14" spans="3:21" ht="18.600000000000001" thickBot="1" x14ac:dyDescent="0.35">
      <c r="C14"/>
      <c r="D14" s="350">
        <v>2</v>
      </c>
      <c r="E14" s="355" t="s">
        <v>123</v>
      </c>
      <c r="F14" s="355" t="s">
        <v>123</v>
      </c>
      <c r="G14" s="355" t="s">
        <v>123</v>
      </c>
      <c r="H14" s="356"/>
      <c r="I14" s="357" t="s">
        <v>124</v>
      </c>
      <c r="J14" s="237" t="s">
        <v>156</v>
      </c>
      <c r="K14" s="239" t="s">
        <v>156</v>
      </c>
      <c r="L14" s="76"/>
      <c r="M14" s="157"/>
    </row>
    <row r="15" spans="3:21" ht="18.600000000000001" thickBot="1" x14ac:dyDescent="0.35">
      <c r="C15"/>
      <c r="D15" s="350"/>
      <c r="E15" s="358">
        <v>7</v>
      </c>
      <c r="F15" s="358">
        <v>7</v>
      </c>
      <c r="G15" s="358">
        <v>7</v>
      </c>
      <c r="H15" s="359"/>
      <c r="I15" s="360">
        <v>7</v>
      </c>
      <c r="J15" s="361">
        <v>7</v>
      </c>
      <c r="K15" s="362">
        <v>7</v>
      </c>
      <c r="L15" s="72">
        <f t="shared" ref="L15" si="0">SUM(E15:K15)</f>
        <v>42</v>
      </c>
      <c r="M15" s="157"/>
    </row>
    <row r="16" spans="3:21" ht="18.600000000000001" thickBot="1" x14ac:dyDescent="0.35">
      <c r="C16"/>
      <c r="D16" s="350">
        <v>3</v>
      </c>
      <c r="E16" s="363"/>
      <c r="F16" s="346" t="s">
        <v>9</v>
      </c>
      <c r="G16" s="357" t="s">
        <v>124</v>
      </c>
      <c r="H16" s="357" t="s">
        <v>124</v>
      </c>
      <c r="I16" s="364" t="s">
        <v>6</v>
      </c>
      <c r="J16" s="365"/>
      <c r="K16" s="366"/>
      <c r="L16" s="76"/>
      <c r="M16" s="157"/>
    </row>
    <row r="17" spans="3:13" ht="18.600000000000001" thickBot="1" x14ac:dyDescent="0.35">
      <c r="C17"/>
      <c r="D17" s="350"/>
      <c r="E17" s="367"/>
      <c r="F17" s="351">
        <v>7</v>
      </c>
      <c r="G17" s="360">
        <v>7</v>
      </c>
      <c r="H17" s="360">
        <v>7</v>
      </c>
      <c r="I17" s="368">
        <v>7</v>
      </c>
      <c r="J17" s="369"/>
      <c r="K17" s="370"/>
      <c r="L17" s="72">
        <f t="shared" ref="L17" si="1">SUM(E17:K17)</f>
        <v>28</v>
      </c>
      <c r="M17" s="157"/>
    </row>
    <row r="18" spans="3:13" ht="18.600000000000001" thickBot="1" x14ac:dyDescent="0.35">
      <c r="C18"/>
      <c r="D18" s="350">
        <v>4</v>
      </c>
      <c r="E18" s="371" t="s">
        <v>141</v>
      </c>
      <c r="F18" s="371" t="s">
        <v>141</v>
      </c>
      <c r="G18" s="371" t="s">
        <v>141</v>
      </c>
      <c r="H18" s="371" t="s">
        <v>141</v>
      </c>
      <c r="I18" s="347"/>
      <c r="J18" s="372" t="s">
        <v>157</v>
      </c>
      <c r="K18" s="373" t="s">
        <v>157</v>
      </c>
      <c r="L18" s="76"/>
      <c r="M18" s="157"/>
    </row>
    <row r="19" spans="3:13" ht="18.600000000000001" thickBot="1" x14ac:dyDescent="0.35">
      <c r="C19"/>
      <c r="D19" s="350"/>
      <c r="E19" s="374">
        <v>7</v>
      </c>
      <c r="F19" s="374">
        <v>7</v>
      </c>
      <c r="G19" s="374">
        <v>7</v>
      </c>
      <c r="H19" s="374">
        <v>7</v>
      </c>
      <c r="I19" s="352"/>
      <c r="J19" s="375">
        <v>7</v>
      </c>
      <c r="K19" s="376">
        <v>7</v>
      </c>
      <c r="L19" s="72">
        <f t="shared" ref="L19" si="2">SUM(E19:K19)</f>
        <v>42</v>
      </c>
      <c r="M19" s="157"/>
    </row>
    <row r="20" spans="3:13" ht="18.600000000000001" thickBot="1" x14ac:dyDescent="0.35">
      <c r="C20"/>
      <c r="D20" s="350">
        <v>5</v>
      </c>
      <c r="E20" s="357" t="s">
        <v>124</v>
      </c>
      <c r="F20" s="357" t="s">
        <v>124</v>
      </c>
      <c r="G20" s="377"/>
      <c r="H20" s="355" t="s">
        <v>123</v>
      </c>
      <c r="I20" s="355" t="s">
        <v>123</v>
      </c>
      <c r="J20" s="365"/>
      <c r="K20" s="366"/>
      <c r="L20" s="76"/>
      <c r="M20" s="157"/>
    </row>
    <row r="21" spans="3:13" ht="18.600000000000001" thickBot="1" x14ac:dyDescent="0.35">
      <c r="C21"/>
      <c r="D21" s="350"/>
      <c r="E21" s="360">
        <v>7</v>
      </c>
      <c r="F21" s="360">
        <v>7</v>
      </c>
      <c r="G21" s="378"/>
      <c r="H21" s="358">
        <v>7</v>
      </c>
      <c r="I21" s="358">
        <v>7</v>
      </c>
      <c r="J21" s="379"/>
      <c r="K21" s="380"/>
      <c r="L21" s="72">
        <f t="shared" ref="L21" si="3">SUM(E21:K21)</f>
        <v>28</v>
      </c>
      <c r="M21" s="157"/>
    </row>
    <row r="22" spans="3:13" ht="18.600000000000001" thickBot="1" x14ac:dyDescent="0.35">
      <c r="C22"/>
      <c r="D22" s="350">
        <v>6</v>
      </c>
      <c r="E22" s="364" t="s">
        <v>6</v>
      </c>
      <c r="F22" s="364" t="s">
        <v>6</v>
      </c>
      <c r="G22" s="364" t="s">
        <v>6</v>
      </c>
      <c r="H22" s="364" t="s">
        <v>6</v>
      </c>
      <c r="I22" s="363"/>
      <c r="J22" s="381" t="s">
        <v>158</v>
      </c>
      <c r="K22" s="382" t="s">
        <v>158</v>
      </c>
      <c r="L22" s="76"/>
      <c r="M22" s="157"/>
    </row>
    <row r="23" spans="3:13" ht="18.600000000000001" thickBot="1" x14ac:dyDescent="0.35">
      <c r="C23"/>
      <c r="D23" s="383"/>
      <c r="E23" s="368">
        <v>7</v>
      </c>
      <c r="F23" s="368">
        <v>7</v>
      </c>
      <c r="G23" s="368">
        <v>7</v>
      </c>
      <c r="H23" s="368">
        <v>7</v>
      </c>
      <c r="I23" s="367"/>
      <c r="J23" s="332">
        <v>7</v>
      </c>
      <c r="K23" s="334">
        <v>7</v>
      </c>
      <c r="L23" s="72">
        <f t="shared" ref="L23" si="4">SUM(E23:K23)</f>
        <v>42</v>
      </c>
      <c r="M23" s="157"/>
    </row>
    <row r="24" spans="3:13" ht="18.600000000000001" thickBot="1" x14ac:dyDescent="0.35">
      <c r="C24"/>
      <c r="D24" s="189">
        <v>7</v>
      </c>
      <c r="E24" s="237"/>
      <c r="F24" s="384"/>
      <c r="G24" s="385"/>
      <c r="H24" s="386"/>
      <c r="I24" s="387"/>
      <c r="J24" s="388"/>
      <c r="K24" s="389"/>
      <c r="L24" s="76"/>
      <c r="M24" s="157"/>
    </row>
    <row r="25" spans="3:13" ht="18.600000000000001" thickBot="1" x14ac:dyDescent="0.35">
      <c r="C25"/>
      <c r="D25" s="350"/>
      <c r="E25" s="390"/>
      <c r="F25" s="391"/>
      <c r="G25" s="392"/>
      <c r="H25" s="393"/>
      <c r="I25" s="394"/>
      <c r="J25" s="245"/>
      <c r="K25" s="247"/>
      <c r="L25" s="72">
        <f t="shared" ref="L25" si="5">SUM(E25:K25)</f>
        <v>0</v>
      </c>
      <c r="M25" s="157"/>
    </row>
    <row r="26" spans="3:13" ht="18.600000000000001" thickBot="1" x14ac:dyDescent="0.35">
      <c r="C26"/>
      <c r="D26" s="350">
        <v>8</v>
      </c>
      <c r="E26" s="248"/>
      <c r="F26" s="249"/>
      <c r="G26" s="392"/>
      <c r="H26" s="392"/>
      <c r="I26" s="395"/>
      <c r="J26" s="251"/>
      <c r="K26" s="396"/>
      <c r="L26" s="76"/>
      <c r="M26" s="157"/>
    </row>
    <row r="27" spans="3:13" ht="18.600000000000001" thickBot="1" x14ac:dyDescent="0.35">
      <c r="C27"/>
      <c r="D27" s="350"/>
      <c r="E27" s="248"/>
      <c r="F27" s="249"/>
      <c r="G27" s="392"/>
      <c r="H27" s="246"/>
      <c r="I27" s="395"/>
      <c r="J27" s="251"/>
      <c r="K27" s="396"/>
      <c r="L27" s="72">
        <f t="shared" ref="L27" si="6">SUM(E27:K27)</f>
        <v>0</v>
      </c>
      <c r="M27" s="157"/>
    </row>
    <row r="28" spans="3:13" ht="18.600000000000001" thickBot="1" x14ac:dyDescent="0.35">
      <c r="C28"/>
      <c r="D28" s="350">
        <v>9</v>
      </c>
      <c r="E28" s="397"/>
      <c r="F28" s="392"/>
      <c r="G28" s="398"/>
      <c r="H28" s="398"/>
      <c r="I28" s="399"/>
      <c r="J28" s="397"/>
      <c r="K28" s="394"/>
      <c r="L28" s="76"/>
      <c r="M28" s="157"/>
    </row>
    <row r="29" spans="3:13" ht="18.600000000000001" thickBot="1" x14ac:dyDescent="0.35">
      <c r="C29"/>
      <c r="D29" s="350"/>
      <c r="E29" s="400"/>
      <c r="F29" s="392"/>
      <c r="G29" s="401"/>
      <c r="H29" s="401"/>
      <c r="I29" s="402"/>
      <c r="J29" s="403"/>
      <c r="K29" s="404"/>
      <c r="L29" s="72">
        <f t="shared" ref="L29" si="7">SUM(E29:K29)</f>
        <v>0</v>
      </c>
      <c r="M29" s="157"/>
    </row>
    <row r="30" spans="3:13" ht="18.600000000000001" thickBot="1" x14ac:dyDescent="0.35">
      <c r="C30"/>
      <c r="D30" s="350">
        <v>10</v>
      </c>
      <c r="E30" s="405"/>
      <c r="F30" s="398"/>
      <c r="G30" s="392"/>
      <c r="H30" s="249"/>
      <c r="I30" s="247"/>
      <c r="J30" s="245"/>
      <c r="K30" s="247"/>
      <c r="L30" s="76"/>
      <c r="M30" s="157"/>
    </row>
    <row r="31" spans="3:13" ht="18.600000000000001" thickBot="1" x14ac:dyDescent="0.35">
      <c r="C31"/>
      <c r="D31" s="350"/>
      <c r="E31" s="406"/>
      <c r="F31" s="401"/>
      <c r="G31" s="392"/>
      <c r="H31" s="249"/>
      <c r="I31" s="247"/>
      <c r="J31" s="245"/>
      <c r="K31" s="247"/>
      <c r="L31" s="72">
        <f t="shared" ref="L31" si="8">SUM(E31:K31)</f>
        <v>0</v>
      </c>
      <c r="M31" s="157"/>
    </row>
    <row r="32" spans="3:13" ht="18.600000000000001" thickBot="1" x14ac:dyDescent="0.35">
      <c r="C32"/>
      <c r="D32" s="350">
        <v>11</v>
      </c>
      <c r="E32" s="397"/>
      <c r="F32" s="398"/>
      <c r="G32" s="246"/>
      <c r="H32" s="246"/>
      <c r="I32" s="394"/>
      <c r="J32" s="397"/>
      <c r="K32" s="394"/>
      <c r="L32" s="76"/>
      <c r="M32" s="157"/>
    </row>
    <row r="33" spans="3:13" ht="18.600000000000001" thickBot="1" x14ac:dyDescent="0.35">
      <c r="C33"/>
      <c r="D33" s="383"/>
      <c r="E33" s="403"/>
      <c r="F33" s="407"/>
      <c r="G33" s="246"/>
      <c r="H33" s="246"/>
      <c r="I33" s="394"/>
      <c r="J33" s="408"/>
      <c r="K33" s="409"/>
      <c r="L33" s="72">
        <f t="shared" ref="L33" si="9">SUM(E33:K33)</f>
        <v>0</v>
      </c>
      <c r="M33" s="157"/>
    </row>
    <row r="34" spans="3:13" ht="18.600000000000001" thickBot="1" x14ac:dyDescent="0.35">
      <c r="C34"/>
      <c r="D34" s="383">
        <v>12</v>
      </c>
      <c r="E34" s="245"/>
      <c r="F34" s="246"/>
      <c r="G34" s="410"/>
      <c r="H34" s="411"/>
      <c r="I34" s="396"/>
      <c r="J34" s="412"/>
      <c r="K34" s="413"/>
      <c r="L34" s="76"/>
      <c r="M34" s="157"/>
    </row>
    <row r="35" spans="3:13" ht="18.600000000000001" thickBot="1" x14ac:dyDescent="0.35">
      <c r="C35" s="183" t="s">
        <v>76</v>
      </c>
      <c r="D35" s="414"/>
      <c r="E35" s="415"/>
      <c r="F35" s="416"/>
      <c r="G35" s="417"/>
      <c r="H35" s="418"/>
      <c r="I35" s="419"/>
      <c r="J35" s="420"/>
      <c r="K35" s="421"/>
      <c r="L35" s="72">
        <f>SUM(E35:K35)</f>
        <v>0</v>
      </c>
      <c r="M35" s="157"/>
    </row>
    <row r="36" spans="3:13" ht="18.600000000000001" thickBot="1" x14ac:dyDescent="0.35">
      <c r="C36" s="364">
        <f>E36+F36+G36+H36+I36</f>
        <v>5</v>
      </c>
      <c r="D36" s="422" t="s">
        <v>6</v>
      </c>
      <c r="E36" s="204">
        <f>COUNTIF(E$12:E$23,"A")</f>
        <v>1</v>
      </c>
      <c r="F36" s="205">
        <f t="shared" ref="F36:I36" si="10">COUNTIF(F$12:F$23,"A")</f>
        <v>1</v>
      </c>
      <c r="G36" s="205">
        <f t="shared" si="10"/>
        <v>1</v>
      </c>
      <c r="H36" s="205">
        <f t="shared" si="10"/>
        <v>1</v>
      </c>
      <c r="I36" s="87">
        <f t="shared" si="10"/>
        <v>1</v>
      </c>
      <c r="J36" s="423"/>
      <c r="K36" s="424"/>
      <c r="L36" s="425">
        <f>SUM(L13:L35)</f>
        <v>210</v>
      </c>
      <c r="M36" s="171"/>
    </row>
    <row r="37" spans="3:13" ht="18" x14ac:dyDescent="0.3">
      <c r="C37" s="426">
        <f t="shared" ref="C37:C40" si="11">E37+F37+G37+H37+I37</f>
        <v>5</v>
      </c>
      <c r="D37" s="427" t="s">
        <v>123</v>
      </c>
      <c r="E37" s="217">
        <f>COUNTIF(E$12:E$23,"C")</f>
        <v>1</v>
      </c>
      <c r="F37" s="342">
        <f t="shared" ref="F37:I37" si="12">COUNTIF(F$12:F$23,"C")</f>
        <v>1</v>
      </c>
      <c r="G37" s="342">
        <f t="shared" si="12"/>
        <v>1</v>
      </c>
      <c r="H37" s="342">
        <f t="shared" si="12"/>
        <v>1</v>
      </c>
      <c r="I37" s="214">
        <f t="shared" si="12"/>
        <v>1</v>
      </c>
      <c r="J37" s="428"/>
      <c r="K37" s="429"/>
      <c r="L37" s="30">
        <f>35*6</f>
        <v>210</v>
      </c>
    </row>
    <row r="38" spans="3:13" ht="18" x14ac:dyDescent="0.3">
      <c r="C38" s="426">
        <f t="shared" si="11"/>
        <v>5</v>
      </c>
      <c r="D38" s="430" t="s">
        <v>9</v>
      </c>
      <c r="E38" s="217">
        <f>COUNTIF(E$12:E$23,"B")</f>
        <v>1</v>
      </c>
      <c r="F38" s="342">
        <f t="shared" ref="F38:I38" si="13">COUNTIF(F$12:F$23,"B")</f>
        <v>1</v>
      </c>
      <c r="G38" s="342">
        <f t="shared" si="13"/>
        <v>1</v>
      </c>
      <c r="H38" s="342">
        <f t="shared" si="13"/>
        <v>1</v>
      </c>
      <c r="I38" s="214">
        <f t="shared" si="13"/>
        <v>1</v>
      </c>
      <c r="J38" s="428"/>
      <c r="K38" s="429"/>
      <c r="L38" s="30"/>
    </row>
    <row r="39" spans="3:13" ht="18" x14ac:dyDescent="0.3">
      <c r="C39" s="426">
        <f t="shared" si="11"/>
        <v>5</v>
      </c>
      <c r="D39" s="431" t="s">
        <v>124</v>
      </c>
      <c r="E39" s="217">
        <f>COUNTIF(E$12:E$23,"J")</f>
        <v>1</v>
      </c>
      <c r="F39" s="342">
        <f t="shared" ref="F39:I39" si="14">COUNTIF(F$12:F$23,"J")</f>
        <v>1</v>
      </c>
      <c r="G39" s="342">
        <f t="shared" si="14"/>
        <v>1</v>
      </c>
      <c r="H39" s="342">
        <f t="shared" si="14"/>
        <v>1</v>
      </c>
      <c r="I39" s="214">
        <f t="shared" si="14"/>
        <v>1</v>
      </c>
      <c r="J39" s="428"/>
      <c r="K39" s="429"/>
      <c r="L39" s="30"/>
    </row>
    <row r="40" spans="3:13" ht="18.600000000000001" thickBot="1" x14ac:dyDescent="0.35">
      <c r="C40" s="432">
        <f t="shared" si="11"/>
        <v>4</v>
      </c>
      <c r="D40" s="433" t="s">
        <v>141</v>
      </c>
      <c r="E40" s="219">
        <f>COUNTIF(E$12:E$23,"X")</f>
        <v>1</v>
      </c>
      <c r="F40" s="434">
        <f t="shared" ref="F40:I40" si="15">COUNTIF(F$12:F$23,"X")</f>
        <v>1</v>
      </c>
      <c r="G40" s="434">
        <f t="shared" si="15"/>
        <v>1</v>
      </c>
      <c r="H40" s="434">
        <f t="shared" si="15"/>
        <v>1</v>
      </c>
      <c r="I40" s="215">
        <f t="shared" si="15"/>
        <v>0</v>
      </c>
      <c r="J40" s="435"/>
      <c r="K40" s="436"/>
      <c r="L40" s="30"/>
    </row>
    <row r="41" spans="3:13" ht="18" x14ac:dyDescent="0.3">
      <c r="C41" s="346">
        <f>J41+K41</f>
        <v>2</v>
      </c>
      <c r="D41" s="422" t="s">
        <v>156</v>
      </c>
      <c r="E41" s="437"/>
      <c r="F41" s="438"/>
      <c r="G41" s="438"/>
      <c r="H41" s="438"/>
      <c r="I41" s="439"/>
      <c r="J41" s="440">
        <f>COUNTIF(J$12:J$23,"Aw")</f>
        <v>1</v>
      </c>
      <c r="K41" s="440">
        <f>COUNTIF(K$12:K$23,"Aw")</f>
        <v>1</v>
      </c>
      <c r="L41" s="30"/>
    </row>
    <row r="42" spans="3:13" ht="18" x14ac:dyDescent="0.3">
      <c r="C42" s="441">
        <f t="shared" ref="C42:C43" si="16">J42+K42</f>
        <v>2</v>
      </c>
      <c r="D42" s="427" t="s">
        <v>157</v>
      </c>
      <c r="E42" s="442"/>
      <c r="F42" s="443"/>
      <c r="G42" s="443"/>
      <c r="H42" s="443"/>
      <c r="I42" s="444"/>
      <c r="J42" s="445">
        <f>COUNTIF(J$12:J$23,"Cw")</f>
        <v>1</v>
      </c>
      <c r="K42" s="445">
        <f>COUNTIF(K$12:K$23,"Cw")</f>
        <v>1</v>
      </c>
      <c r="L42" s="30"/>
    </row>
    <row r="43" spans="3:13" ht="18.600000000000001" thickBot="1" x14ac:dyDescent="0.35">
      <c r="C43" s="351">
        <f t="shared" si="16"/>
        <v>2</v>
      </c>
      <c r="D43" s="446" t="s">
        <v>158</v>
      </c>
      <c r="E43" s="447"/>
      <c r="F43" s="448"/>
      <c r="G43" s="448"/>
      <c r="H43" s="448"/>
      <c r="I43" s="449"/>
      <c r="J43" s="450">
        <f>COUNTIF(J$12:J$23,"Bw")</f>
        <v>1</v>
      </c>
      <c r="K43" s="450">
        <f>COUNTIF(K$12:K$23,"Bw")</f>
        <v>1</v>
      </c>
      <c r="L43" s="30"/>
    </row>
    <row r="44" spans="3:13" ht="18" x14ac:dyDescent="0.3">
      <c r="C44" s="451"/>
      <c r="D44" s="452"/>
      <c r="E44" s="453"/>
      <c r="F44" s="453"/>
      <c r="G44" s="453"/>
      <c r="H44" s="453"/>
      <c r="I44" s="453"/>
      <c r="J44" s="453"/>
      <c r="K44" s="453"/>
      <c r="L44" s="30"/>
    </row>
  </sheetData>
  <mergeCells count="1">
    <mergeCell ref="G7:I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Q28"/>
  <sheetViews>
    <sheetView zoomScale="70" zoomScaleNormal="70" workbookViewId="0">
      <selection activeCell="Q34" sqref="Q34"/>
    </sheetView>
  </sheetViews>
  <sheetFormatPr baseColWidth="10" defaultRowHeight="14.4" x14ac:dyDescent="0.3"/>
  <cols>
    <col min="3" max="4" width="11.5546875" style="30"/>
    <col min="5" max="8" width="5.6640625" style="30" customWidth="1"/>
    <col min="9" max="46" width="5.6640625" customWidth="1"/>
    <col min="47" max="55" width="4.6640625" customWidth="1"/>
    <col min="56" max="56" width="10.33203125" customWidth="1"/>
    <col min="57" max="57" width="11.88671875" customWidth="1"/>
    <col min="58" max="58" width="18.6640625" customWidth="1"/>
  </cols>
  <sheetData>
    <row r="2" spans="1:59" ht="31.2" x14ac:dyDescent="0.3">
      <c r="D2" s="61" t="s">
        <v>177</v>
      </c>
    </row>
    <row r="3" spans="1:59" x14ac:dyDescent="0.3">
      <c r="A3" t="s">
        <v>295</v>
      </c>
      <c r="B3" t="s">
        <v>296</v>
      </c>
      <c r="E3" s="647" t="s">
        <v>300</v>
      </c>
    </row>
    <row r="4" spans="1:59" x14ac:dyDescent="0.3">
      <c r="B4" t="s">
        <v>297</v>
      </c>
      <c r="E4" s="647" t="s">
        <v>301</v>
      </c>
    </row>
    <row r="5" spans="1:59" x14ac:dyDescent="0.3">
      <c r="B5" t="s">
        <v>298</v>
      </c>
      <c r="C5"/>
      <c r="D5"/>
      <c r="E5"/>
      <c r="F5"/>
    </row>
    <row r="6" spans="1:59" ht="15" thickBot="1" x14ac:dyDescent="0.35">
      <c r="B6" t="s">
        <v>299</v>
      </c>
      <c r="C6"/>
      <c r="D6"/>
      <c r="E6"/>
      <c r="F6"/>
      <c r="G6" s="168">
        <v>1</v>
      </c>
      <c r="H6" s="168"/>
      <c r="I6" s="168"/>
      <c r="J6" s="168"/>
      <c r="K6" s="168"/>
      <c r="L6" s="168"/>
      <c r="M6" s="168"/>
      <c r="N6" s="168">
        <v>2</v>
      </c>
      <c r="O6" s="168"/>
      <c r="P6" s="168"/>
      <c r="Q6" s="168"/>
      <c r="R6" s="168"/>
      <c r="S6" s="168"/>
      <c r="T6" s="168"/>
      <c r="U6" s="168">
        <v>3</v>
      </c>
      <c r="V6" s="168"/>
      <c r="W6" s="168"/>
      <c r="X6" s="168"/>
      <c r="Y6" s="168"/>
      <c r="Z6" s="168"/>
      <c r="AA6" s="168"/>
      <c r="AB6" s="168">
        <v>4</v>
      </c>
      <c r="AC6" s="168"/>
      <c r="AD6" s="168"/>
      <c r="AE6" s="168"/>
      <c r="AF6" s="168"/>
      <c r="AG6" s="168"/>
      <c r="AH6" s="168"/>
      <c r="AI6" s="168">
        <v>5</v>
      </c>
      <c r="AJ6" s="168"/>
      <c r="AK6" s="168"/>
      <c r="AL6" s="168"/>
      <c r="AM6" s="168"/>
      <c r="AN6" s="168"/>
      <c r="AO6" s="168"/>
      <c r="AP6" s="168">
        <v>6</v>
      </c>
      <c r="AQ6" s="168"/>
      <c r="AR6" s="168"/>
      <c r="AS6" s="168"/>
      <c r="AT6" s="168"/>
      <c r="AU6" s="454"/>
      <c r="AV6" s="168"/>
      <c r="AW6" s="455"/>
      <c r="AX6" s="168"/>
      <c r="AY6" s="456"/>
      <c r="AZ6" s="168"/>
      <c r="BA6" s="168"/>
      <c r="BB6" s="168"/>
      <c r="BC6" s="456"/>
      <c r="BD6" s="168"/>
      <c r="BE6" s="168"/>
      <c r="BF6" s="168"/>
    </row>
    <row r="7" spans="1:59" ht="18.600000000000001" thickBot="1" x14ac:dyDescent="0.35">
      <c r="C7" s="224"/>
      <c r="D7" s="224"/>
      <c r="E7" s="224"/>
      <c r="F7" s="224"/>
      <c r="G7" s="458" t="s">
        <v>163</v>
      </c>
      <c r="H7" s="458" t="s">
        <v>124</v>
      </c>
      <c r="I7" s="459" t="s">
        <v>164</v>
      </c>
      <c r="J7" s="460" t="s">
        <v>10</v>
      </c>
      <c r="K7" s="461" t="s">
        <v>165</v>
      </c>
      <c r="L7" s="462" t="s">
        <v>161</v>
      </c>
      <c r="M7" s="458" t="s">
        <v>162</v>
      </c>
      <c r="N7" s="458" t="s">
        <v>163</v>
      </c>
      <c r="O7" s="458" t="s">
        <v>124</v>
      </c>
      <c r="P7" s="459" t="s">
        <v>164</v>
      </c>
      <c r="Q7" s="460" t="s">
        <v>10</v>
      </c>
      <c r="R7" s="461" t="s">
        <v>165</v>
      </c>
      <c r="S7" s="462" t="s">
        <v>161</v>
      </c>
      <c r="T7" s="458" t="s">
        <v>162</v>
      </c>
      <c r="U7" s="458" t="s">
        <v>163</v>
      </c>
      <c r="V7" s="458" t="s">
        <v>124</v>
      </c>
      <c r="W7" s="459" t="s">
        <v>164</v>
      </c>
      <c r="X7" s="460" t="s">
        <v>10</v>
      </c>
      <c r="Y7" s="461" t="s">
        <v>165</v>
      </c>
      <c r="Z7" s="462" t="s">
        <v>161</v>
      </c>
      <c r="AA7" s="458" t="s">
        <v>162</v>
      </c>
      <c r="AB7" s="458" t="s">
        <v>163</v>
      </c>
      <c r="AC7" s="458" t="s">
        <v>124</v>
      </c>
      <c r="AD7" s="459" t="s">
        <v>164</v>
      </c>
      <c r="AE7" s="460" t="s">
        <v>10</v>
      </c>
      <c r="AF7" s="461" t="s">
        <v>165</v>
      </c>
      <c r="AG7" s="462" t="s">
        <v>161</v>
      </c>
      <c r="AH7" s="458" t="s">
        <v>162</v>
      </c>
      <c r="AI7" s="458" t="s">
        <v>163</v>
      </c>
      <c r="AJ7" s="458" t="s">
        <v>124</v>
      </c>
      <c r="AK7" s="459" t="s">
        <v>164</v>
      </c>
      <c r="AL7" s="460" t="s">
        <v>10</v>
      </c>
      <c r="AM7" s="461" t="s">
        <v>165</v>
      </c>
      <c r="AN7" s="462" t="s">
        <v>161</v>
      </c>
      <c r="AO7" s="458" t="s">
        <v>162</v>
      </c>
      <c r="AP7" s="458" t="s">
        <v>163</v>
      </c>
      <c r="AQ7" s="458" t="s">
        <v>124</v>
      </c>
      <c r="AR7" s="459" t="s">
        <v>164</v>
      </c>
      <c r="AS7" s="463" t="s">
        <v>10</v>
      </c>
      <c r="AT7" s="464" t="s">
        <v>165</v>
      </c>
      <c r="AU7" s="465" t="s">
        <v>6</v>
      </c>
      <c r="AV7" s="466" t="s">
        <v>123</v>
      </c>
      <c r="AW7" s="467" t="s">
        <v>9</v>
      </c>
      <c r="AX7" s="468" t="s">
        <v>124</v>
      </c>
      <c r="AY7" s="469" t="s">
        <v>141</v>
      </c>
      <c r="AZ7" s="470"/>
      <c r="BA7" s="465" t="s">
        <v>156</v>
      </c>
      <c r="BB7" s="466" t="s">
        <v>157</v>
      </c>
      <c r="BC7" s="471" t="s">
        <v>158</v>
      </c>
      <c r="BD7" s="472" t="s">
        <v>166</v>
      </c>
      <c r="BE7" s="473" t="s">
        <v>167</v>
      </c>
      <c r="BF7" s="474" t="s">
        <v>168</v>
      </c>
    </row>
    <row r="8" spans="1:59" ht="18" x14ac:dyDescent="0.3">
      <c r="B8" s="89">
        <v>1</v>
      </c>
      <c r="C8" s="90" t="s">
        <v>6</v>
      </c>
      <c r="D8" s="475">
        <v>1</v>
      </c>
      <c r="E8" s="346" t="s">
        <v>9</v>
      </c>
      <c r="F8" s="347"/>
      <c r="G8" s="346" t="s">
        <v>9</v>
      </c>
      <c r="H8" s="346" t="s">
        <v>9</v>
      </c>
      <c r="I8" s="346" t="s">
        <v>9</v>
      </c>
      <c r="J8" s="348"/>
      <c r="K8" s="349"/>
      <c r="L8" s="355" t="s">
        <v>123</v>
      </c>
      <c r="M8" s="355" t="s">
        <v>123</v>
      </c>
      <c r="N8" s="355" t="s">
        <v>123</v>
      </c>
      <c r="O8" s="356"/>
      <c r="P8" s="357" t="s">
        <v>124</v>
      </c>
      <c r="Q8" s="237" t="s">
        <v>156</v>
      </c>
      <c r="R8" s="239" t="s">
        <v>156</v>
      </c>
      <c r="S8" s="363"/>
      <c r="T8" s="346" t="s">
        <v>9</v>
      </c>
      <c r="U8" s="357" t="s">
        <v>124</v>
      </c>
      <c r="V8" s="357" t="s">
        <v>124</v>
      </c>
      <c r="W8" s="364" t="s">
        <v>6</v>
      </c>
      <c r="X8" s="365"/>
      <c r="Y8" s="366"/>
      <c r="Z8" s="371" t="s">
        <v>141</v>
      </c>
      <c r="AA8" s="371" t="s">
        <v>141</v>
      </c>
      <c r="AB8" s="371" t="s">
        <v>141</v>
      </c>
      <c r="AC8" s="371" t="s">
        <v>141</v>
      </c>
      <c r="AD8" s="347"/>
      <c r="AE8" s="372" t="s">
        <v>157</v>
      </c>
      <c r="AF8" s="373" t="s">
        <v>157</v>
      </c>
      <c r="AG8" s="357" t="s">
        <v>124</v>
      </c>
      <c r="AH8" s="357" t="s">
        <v>124</v>
      </c>
      <c r="AI8" s="377"/>
      <c r="AJ8" s="355" t="s">
        <v>123</v>
      </c>
      <c r="AK8" s="355" t="s">
        <v>123</v>
      </c>
      <c r="AL8" s="365"/>
      <c r="AM8" s="366"/>
      <c r="AN8" s="364" t="s">
        <v>6</v>
      </c>
      <c r="AO8" s="364" t="s">
        <v>6</v>
      </c>
      <c r="AP8" s="364" t="s">
        <v>6</v>
      </c>
      <c r="AQ8" s="364" t="s">
        <v>6</v>
      </c>
      <c r="AR8" s="363"/>
      <c r="AS8" s="381" t="s">
        <v>158</v>
      </c>
      <c r="AT8" s="382" t="s">
        <v>158</v>
      </c>
      <c r="AU8" s="476">
        <f>COUNTIF($E8:$AT8,"A")</f>
        <v>5</v>
      </c>
      <c r="AV8" s="477">
        <f>COUNTIF($E8:$AT8,"C")</f>
        <v>5</v>
      </c>
      <c r="AW8" s="477">
        <f>COUNTIF($E8:$AT8,"B")</f>
        <v>5</v>
      </c>
      <c r="AX8" s="477">
        <f>COUNTIF($E8:$AT8,"J")</f>
        <v>5</v>
      </c>
      <c r="AY8" s="478">
        <f>COUNTIF($E8:$AT8,"X")</f>
        <v>4</v>
      </c>
      <c r="AZ8" s="476"/>
      <c r="BA8" s="476">
        <f>COUNTIF($E8:$AT8,"Aw")</f>
        <v>2</v>
      </c>
      <c r="BB8" s="477">
        <f>COUNTIF($E8:$AT8,"Cw")</f>
        <v>2</v>
      </c>
      <c r="BC8" s="478">
        <f>COUNTIF($E8:$AT8,"Bw")</f>
        <v>2</v>
      </c>
      <c r="BD8" s="479"/>
      <c r="BE8" s="480"/>
      <c r="BF8" s="481"/>
    </row>
    <row r="9" spans="1:59" ht="18.600000000000001" thickBot="1" x14ac:dyDescent="0.35">
      <c r="B9" s="482"/>
      <c r="C9" s="483"/>
      <c r="D9" s="484"/>
      <c r="E9" s="351">
        <v>7</v>
      </c>
      <c r="F9" s="352"/>
      <c r="G9" s="351">
        <v>7</v>
      </c>
      <c r="H9" s="351">
        <v>7</v>
      </c>
      <c r="I9" s="351">
        <v>7</v>
      </c>
      <c r="J9" s="353"/>
      <c r="K9" s="354"/>
      <c r="L9" s="358">
        <v>7</v>
      </c>
      <c r="M9" s="358">
        <v>7</v>
      </c>
      <c r="N9" s="358">
        <v>7</v>
      </c>
      <c r="O9" s="359"/>
      <c r="P9" s="360">
        <v>7</v>
      </c>
      <c r="Q9" s="361">
        <v>7</v>
      </c>
      <c r="R9" s="362">
        <v>7</v>
      </c>
      <c r="S9" s="367"/>
      <c r="T9" s="351">
        <v>7</v>
      </c>
      <c r="U9" s="360">
        <v>7</v>
      </c>
      <c r="V9" s="360">
        <v>7</v>
      </c>
      <c r="W9" s="368">
        <v>7</v>
      </c>
      <c r="X9" s="369"/>
      <c r="Y9" s="370"/>
      <c r="Z9" s="374">
        <v>7</v>
      </c>
      <c r="AA9" s="374">
        <v>7</v>
      </c>
      <c r="AB9" s="374">
        <v>7</v>
      </c>
      <c r="AC9" s="374">
        <v>7</v>
      </c>
      <c r="AD9" s="352"/>
      <c r="AE9" s="375">
        <v>7</v>
      </c>
      <c r="AF9" s="376">
        <v>7</v>
      </c>
      <c r="AG9" s="360">
        <v>7</v>
      </c>
      <c r="AH9" s="360">
        <v>7</v>
      </c>
      <c r="AI9" s="378"/>
      <c r="AJ9" s="358">
        <v>7</v>
      </c>
      <c r="AK9" s="358">
        <v>7</v>
      </c>
      <c r="AL9" s="379"/>
      <c r="AM9" s="380"/>
      <c r="AN9" s="368">
        <v>7</v>
      </c>
      <c r="AO9" s="368">
        <v>7</v>
      </c>
      <c r="AP9" s="368">
        <v>7</v>
      </c>
      <c r="AQ9" s="368">
        <v>7</v>
      </c>
      <c r="AR9" s="367"/>
      <c r="AS9" s="332">
        <v>7</v>
      </c>
      <c r="AT9" s="334">
        <v>7</v>
      </c>
      <c r="AU9" s="485"/>
      <c r="AV9" s="486"/>
      <c r="AW9" s="486"/>
      <c r="AX9" s="486"/>
      <c r="AY9" s="487"/>
      <c r="AZ9" s="488"/>
      <c r="BA9" s="485"/>
      <c r="BB9" s="486"/>
      <c r="BC9" s="487"/>
      <c r="BD9" s="489">
        <f>SUM(E9:AT9)</f>
        <v>210</v>
      </c>
      <c r="BE9" s="490">
        <f>35*6*D8</f>
        <v>210</v>
      </c>
      <c r="BF9" s="491">
        <f>BD9-BE9</f>
        <v>0</v>
      </c>
      <c r="BG9">
        <f>BF9/7</f>
        <v>0</v>
      </c>
    </row>
    <row r="10" spans="1:59" ht="18" x14ac:dyDescent="0.3">
      <c r="B10" s="103">
        <v>2</v>
      </c>
      <c r="C10" s="97" t="s">
        <v>9</v>
      </c>
      <c r="D10" s="492">
        <v>1</v>
      </c>
      <c r="E10" s="364" t="s">
        <v>6</v>
      </c>
      <c r="F10" s="364" t="s">
        <v>6</v>
      </c>
      <c r="G10" s="364" t="s">
        <v>6</v>
      </c>
      <c r="H10" s="364" t="s">
        <v>6</v>
      </c>
      <c r="I10" s="363"/>
      <c r="J10" s="381" t="s">
        <v>158</v>
      </c>
      <c r="K10" s="382" t="s">
        <v>158</v>
      </c>
      <c r="L10" s="346" t="s">
        <v>9</v>
      </c>
      <c r="M10" s="347"/>
      <c r="N10" s="346" t="s">
        <v>9</v>
      </c>
      <c r="O10" s="346" t="s">
        <v>9</v>
      </c>
      <c r="P10" s="346" t="s">
        <v>9</v>
      </c>
      <c r="Q10" s="348"/>
      <c r="R10" s="349"/>
      <c r="S10" s="355" t="s">
        <v>123</v>
      </c>
      <c r="T10" s="355" t="s">
        <v>123</v>
      </c>
      <c r="U10" s="355" t="s">
        <v>123</v>
      </c>
      <c r="V10" s="356"/>
      <c r="W10" s="357" t="s">
        <v>124</v>
      </c>
      <c r="X10" s="237" t="s">
        <v>156</v>
      </c>
      <c r="Y10" s="239" t="s">
        <v>156</v>
      </c>
      <c r="Z10" s="363"/>
      <c r="AA10" s="346" t="s">
        <v>9</v>
      </c>
      <c r="AB10" s="357" t="s">
        <v>124</v>
      </c>
      <c r="AC10" s="357" t="s">
        <v>124</v>
      </c>
      <c r="AD10" s="364" t="s">
        <v>6</v>
      </c>
      <c r="AE10" s="365"/>
      <c r="AF10" s="366"/>
      <c r="AG10" s="371" t="s">
        <v>141</v>
      </c>
      <c r="AH10" s="371" t="s">
        <v>141</v>
      </c>
      <c r="AI10" s="371" t="s">
        <v>141</v>
      </c>
      <c r="AJ10" s="371" t="s">
        <v>141</v>
      </c>
      <c r="AK10" s="347"/>
      <c r="AL10" s="372" t="s">
        <v>157</v>
      </c>
      <c r="AM10" s="373" t="s">
        <v>157</v>
      </c>
      <c r="AN10" s="357" t="s">
        <v>124</v>
      </c>
      <c r="AO10" s="357" t="s">
        <v>124</v>
      </c>
      <c r="AP10" s="377"/>
      <c r="AQ10" s="355" t="s">
        <v>123</v>
      </c>
      <c r="AR10" s="355" t="s">
        <v>123</v>
      </c>
      <c r="AS10" s="365"/>
      <c r="AT10" s="366"/>
      <c r="AU10" s="493">
        <f t="shared" ref="AU10:AU18" si="0">COUNTIF($E10:$AT10,"A")</f>
        <v>5</v>
      </c>
      <c r="AV10" s="494">
        <f t="shared" ref="AV10:AV18" si="1">COUNTIF($E10:$AT10,"C")</f>
        <v>5</v>
      </c>
      <c r="AW10" s="494">
        <f t="shared" ref="AW10:AW18" si="2">COUNTIF($E10:$AT10,"B")</f>
        <v>5</v>
      </c>
      <c r="AX10" s="494">
        <f t="shared" ref="AX10:AX18" si="3">COUNTIF($E10:$AT10,"J")</f>
        <v>5</v>
      </c>
      <c r="AY10" s="495">
        <f t="shared" ref="AY10:AY18" si="4">COUNTIF($E10:$AT10,"X")</f>
        <v>4</v>
      </c>
      <c r="AZ10" s="493"/>
      <c r="BA10" s="493">
        <f t="shared" ref="BA10:BA18" si="5">COUNTIF($E10:$AT10,"Aw")</f>
        <v>2</v>
      </c>
      <c r="BB10" s="494">
        <f t="shared" ref="BB10:BB18" si="6">COUNTIF($E10:$AT10,"Cw")</f>
        <v>2</v>
      </c>
      <c r="BC10" s="495">
        <f t="shared" ref="BC10:BC18" si="7">COUNTIF($E10:$AT10,"Bw")</f>
        <v>2</v>
      </c>
      <c r="BD10" s="489"/>
      <c r="BE10" s="490"/>
      <c r="BF10" s="491"/>
    </row>
    <row r="11" spans="1:59" ht="18.600000000000001" thickBot="1" x14ac:dyDescent="0.35">
      <c r="B11" s="103"/>
      <c r="C11" s="97"/>
      <c r="D11" s="492"/>
      <c r="E11" s="368">
        <v>7</v>
      </c>
      <c r="F11" s="368">
        <v>7</v>
      </c>
      <c r="G11" s="368">
        <v>7</v>
      </c>
      <c r="H11" s="368">
        <v>7</v>
      </c>
      <c r="I11" s="367"/>
      <c r="J11" s="332">
        <v>7</v>
      </c>
      <c r="K11" s="334">
        <v>7</v>
      </c>
      <c r="L11" s="351">
        <v>7</v>
      </c>
      <c r="M11" s="352"/>
      <c r="N11" s="351">
        <v>7</v>
      </c>
      <c r="O11" s="351">
        <v>7</v>
      </c>
      <c r="P11" s="351">
        <v>7</v>
      </c>
      <c r="Q11" s="353"/>
      <c r="R11" s="354"/>
      <c r="S11" s="358">
        <v>7</v>
      </c>
      <c r="T11" s="358">
        <v>7</v>
      </c>
      <c r="U11" s="358">
        <v>7</v>
      </c>
      <c r="V11" s="359"/>
      <c r="W11" s="360">
        <v>7</v>
      </c>
      <c r="X11" s="361">
        <v>7</v>
      </c>
      <c r="Y11" s="362">
        <v>7</v>
      </c>
      <c r="Z11" s="367"/>
      <c r="AA11" s="351">
        <v>7</v>
      </c>
      <c r="AB11" s="360">
        <v>7</v>
      </c>
      <c r="AC11" s="360">
        <v>7</v>
      </c>
      <c r="AD11" s="368">
        <v>7</v>
      </c>
      <c r="AE11" s="369"/>
      <c r="AF11" s="370"/>
      <c r="AG11" s="374">
        <v>7</v>
      </c>
      <c r="AH11" s="374">
        <v>7</v>
      </c>
      <c r="AI11" s="374">
        <v>7</v>
      </c>
      <c r="AJ11" s="374">
        <v>7</v>
      </c>
      <c r="AK11" s="352"/>
      <c r="AL11" s="375">
        <v>7</v>
      </c>
      <c r="AM11" s="376">
        <v>7</v>
      </c>
      <c r="AN11" s="360">
        <v>7</v>
      </c>
      <c r="AO11" s="360">
        <v>7</v>
      </c>
      <c r="AP11" s="378"/>
      <c r="AQ11" s="358">
        <v>7</v>
      </c>
      <c r="AR11" s="358">
        <v>7</v>
      </c>
      <c r="AS11" s="379"/>
      <c r="AT11" s="380"/>
      <c r="AU11" s="496"/>
      <c r="AV11" s="497"/>
      <c r="AW11" s="497"/>
      <c r="AX11" s="497"/>
      <c r="AY11" s="498"/>
      <c r="AZ11" s="499"/>
      <c r="BA11" s="496"/>
      <c r="BB11" s="497"/>
      <c r="BC11" s="498"/>
      <c r="BD11" s="489">
        <f>SUM(E11:AT11)</f>
        <v>210</v>
      </c>
      <c r="BE11" s="490">
        <f>35*6*D10</f>
        <v>210</v>
      </c>
      <c r="BF11" s="491">
        <f t="shared" ref="BF11:BF17" si="8">BD11-BE11</f>
        <v>0</v>
      </c>
      <c r="BG11">
        <f t="shared" ref="BG11:BG17" si="9">BF11/7</f>
        <v>0</v>
      </c>
    </row>
    <row r="12" spans="1:59" ht="18" x14ac:dyDescent="0.3">
      <c r="B12" s="103">
        <v>3</v>
      </c>
      <c r="C12" s="97" t="s">
        <v>123</v>
      </c>
      <c r="D12" s="492">
        <v>1</v>
      </c>
      <c r="E12" s="357" t="s">
        <v>124</v>
      </c>
      <c r="F12" s="357" t="s">
        <v>124</v>
      </c>
      <c r="G12" s="377"/>
      <c r="H12" s="355" t="s">
        <v>123</v>
      </c>
      <c r="I12" s="355" t="s">
        <v>123</v>
      </c>
      <c r="J12" s="365"/>
      <c r="K12" s="366"/>
      <c r="L12" s="364" t="s">
        <v>6</v>
      </c>
      <c r="M12" s="364" t="s">
        <v>6</v>
      </c>
      <c r="N12" s="364" t="s">
        <v>6</v>
      </c>
      <c r="O12" s="364" t="s">
        <v>6</v>
      </c>
      <c r="P12" s="363"/>
      <c r="Q12" s="381" t="s">
        <v>158</v>
      </c>
      <c r="R12" s="382" t="s">
        <v>158</v>
      </c>
      <c r="S12" s="346" t="s">
        <v>9</v>
      </c>
      <c r="T12" s="347"/>
      <c r="U12" s="346" t="s">
        <v>9</v>
      </c>
      <c r="V12" s="346" t="s">
        <v>9</v>
      </c>
      <c r="W12" s="346" t="s">
        <v>9</v>
      </c>
      <c r="X12" s="348"/>
      <c r="Y12" s="349"/>
      <c r="Z12" s="355" t="s">
        <v>123</v>
      </c>
      <c r="AA12" s="355" t="s">
        <v>123</v>
      </c>
      <c r="AB12" s="355" t="s">
        <v>123</v>
      </c>
      <c r="AC12" s="356"/>
      <c r="AD12" s="357" t="s">
        <v>124</v>
      </c>
      <c r="AE12" s="237" t="s">
        <v>156</v>
      </c>
      <c r="AF12" s="239" t="s">
        <v>156</v>
      </c>
      <c r="AG12" s="363"/>
      <c r="AH12" s="346" t="s">
        <v>9</v>
      </c>
      <c r="AI12" s="357" t="s">
        <v>124</v>
      </c>
      <c r="AJ12" s="357" t="s">
        <v>124</v>
      </c>
      <c r="AK12" s="364" t="s">
        <v>6</v>
      </c>
      <c r="AL12" s="365"/>
      <c r="AM12" s="366"/>
      <c r="AN12" s="371" t="s">
        <v>141</v>
      </c>
      <c r="AO12" s="371" t="s">
        <v>141</v>
      </c>
      <c r="AP12" s="371" t="s">
        <v>141</v>
      </c>
      <c r="AQ12" s="371" t="s">
        <v>141</v>
      </c>
      <c r="AR12" s="347"/>
      <c r="AS12" s="372" t="s">
        <v>157</v>
      </c>
      <c r="AT12" s="373" t="s">
        <v>157</v>
      </c>
      <c r="AU12" s="476">
        <f t="shared" si="0"/>
        <v>5</v>
      </c>
      <c r="AV12" s="477">
        <f t="shared" si="1"/>
        <v>5</v>
      </c>
      <c r="AW12" s="477">
        <f t="shared" si="2"/>
        <v>5</v>
      </c>
      <c r="AX12" s="477">
        <f t="shared" si="3"/>
        <v>5</v>
      </c>
      <c r="AY12" s="478">
        <f t="shared" si="4"/>
        <v>4</v>
      </c>
      <c r="AZ12" s="476"/>
      <c r="BA12" s="476">
        <f t="shared" si="5"/>
        <v>2</v>
      </c>
      <c r="BB12" s="477">
        <f t="shared" si="6"/>
        <v>2</v>
      </c>
      <c r="BC12" s="478">
        <f t="shared" si="7"/>
        <v>2</v>
      </c>
      <c r="BD12" s="489"/>
      <c r="BE12" s="490"/>
      <c r="BF12" s="491"/>
    </row>
    <row r="13" spans="1:59" ht="18.600000000000001" thickBot="1" x14ac:dyDescent="0.35">
      <c r="B13" s="103"/>
      <c r="C13" s="97"/>
      <c r="D13" s="492"/>
      <c r="E13" s="360">
        <v>7</v>
      </c>
      <c r="F13" s="360">
        <v>7</v>
      </c>
      <c r="G13" s="378"/>
      <c r="H13" s="358">
        <v>7</v>
      </c>
      <c r="I13" s="358">
        <v>7</v>
      </c>
      <c r="J13" s="379"/>
      <c r="K13" s="380"/>
      <c r="L13" s="368">
        <v>7</v>
      </c>
      <c r="M13" s="368">
        <v>7</v>
      </c>
      <c r="N13" s="368">
        <v>7</v>
      </c>
      <c r="O13" s="368">
        <v>7</v>
      </c>
      <c r="P13" s="367"/>
      <c r="Q13" s="332">
        <v>7</v>
      </c>
      <c r="R13" s="334">
        <v>7</v>
      </c>
      <c r="S13" s="351">
        <v>7</v>
      </c>
      <c r="T13" s="352"/>
      <c r="U13" s="351">
        <v>7</v>
      </c>
      <c r="V13" s="351">
        <v>7</v>
      </c>
      <c r="W13" s="351">
        <v>7</v>
      </c>
      <c r="X13" s="353"/>
      <c r="Y13" s="354"/>
      <c r="Z13" s="358">
        <v>7</v>
      </c>
      <c r="AA13" s="358">
        <v>7</v>
      </c>
      <c r="AB13" s="358">
        <v>7</v>
      </c>
      <c r="AC13" s="359"/>
      <c r="AD13" s="360">
        <v>7</v>
      </c>
      <c r="AE13" s="361">
        <v>7</v>
      </c>
      <c r="AF13" s="362">
        <v>7</v>
      </c>
      <c r="AG13" s="367"/>
      <c r="AH13" s="351">
        <v>7</v>
      </c>
      <c r="AI13" s="360">
        <v>7</v>
      </c>
      <c r="AJ13" s="360">
        <v>7</v>
      </c>
      <c r="AK13" s="368">
        <v>7</v>
      </c>
      <c r="AL13" s="369"/>
      <c r="AM13" s="370"/>
      <c r="AN13" s="374">
        <v>7</v>
      </c>
      <c r="AO13" s="374">
        <v>7</v>
      </c>
      <c r="AP13" s="374">
        <v>7</v>
      </c>
      <c r="AQ13" s="374">
        <v>7</v>
      </c>
      <c r="AR13" s="352"/>
      <c r="AS13" s="375">
        <v>7</v>
      </c>
      <c r="AT13" s="376">
        <v>7</v>
      </c>
      <c r="AU13" s="485"/>
      <c r="AV13" s="486"/>
      <c r="AW13" s="486"/>
      <c r="AX13" s="486"/>
      <c r="AY13" s="487"/>
      <c r="AZ13" s="488"/>
      <c r="BA13" s="485"/>
      <c r="BB13" s="486"/>
      <c r="BC13" s="487"/>
      <c r="BD13" s="489">
        <f>SUM(E13:AT13)</f>
        <v>210</v>
      </c>
      <c r="BE13" s="490">
        <f>35*6*D12</f>
        <v>210</v>
      </c>
      <c r="BF13" s="491">
        <f t="shared" si="8"/>
        <v>0</v>
      </c>
      <c r="BG13">
        <f t="shared" si="9"/>
        <v>0</v>
      </c>
    </row>
    <row r="14" spans="1:59" ht="18" x14ac:dyDescent="0.3">
      <c r="B14" s="103">
        <v>4</v>
      </c>
      <c r="C14" s="97" t="s">
        <v>165</v>
      </c>
      <c r="D14" s="492">
        <v>1</v>
      </c>
      <c r="E14" s="371" t="s">
        <v>141</v>
      </c>
      <c r="F14" s="371" t="s">
        <v>141</v>
      </c>
      <c r="G14" s="371" t="s">
        <v>141</v>
      </c>
      <c r="H14" s="371" t="s">
        <v>141</v>
      </c>
      <c r="I14" s="347"/>
      <c r="J14" s="372" t="s">
        <v>157</v>
      </c>
      <c r="K14" s="373" t="s">
        <v>157</v>
      </c>
      <c r="L14" s="357" t="s">
        <v>124</v>
      </c>
      <c r="M14" s="357" t="s">
        <v>124</v>
      </c>
      <c r="N14" s="377"/>
      <c r="O14" s="355" t="s">
        <v>123</v>
      </c>
      <c r="P14" s="355" t="s">
        <v>123</v>
      </c>
      <c r="Q14" s="365"/>
      <c r="R14" s="366"/>
      <c r="S14" s="364" t="s">
        <v>6</v>
      </c>
      <c r="T14" s="364" t="s">
        <v>6</v>
      </c>
      <c r="U14" s="364" t="s">
        <v>6</v>
      </c>
      <c r="V14" s="364" t="s">
        <v>6</v>
      </c>
      <c r="W14" s="363"/>
      <c r="X14" s="381" t="s">
        <v>158</v>
      </c>
      <c r="Y14" s="382" t="s">
        <v>158</v>
      </c>
      <c r="Z14" s="346" t="s">
        <v>9</v>
      </c>
      <c r="AA14" s="347"/>
      <c r="AB14" s="346" t="s">
        <v>9</v>
      </c>
      <c r="AC14" s="346" t="s">
        <v>9</v>
      </c>
      <c r="AD14" s="346" t="s">
        <v>9</v>
      </c>
      <c r="AE14" s="348"/>
      <c r="AF14" s="349"/>
      <c r="AG14" s="355" t="s">
        <v>123</v>
      </c>
      <c r="AH14" s="355" t="s">
        <v>123</v>
      </c>
      <c r="AI14" s="355" t="s">
        <v>123</v>
      </c>
      <c r="AJ14" s="356"/>
      <c r="AK14" s="357" t="s">
        <v>124</v>
      </c>
      <c r="AL14" s="237" t="s">
        <v>156</v>
      </c>
      <c r="AM14" s="239" t="s">
        <v>156</v>
      </c>
      <c r="AN14" s="363"/>
      <c r="AO14" s="346" t="s">
        <v>9</v>
      </c>
      <c r="AP14" s="357" t="s">
        <v>124</v>
      </c>
      <c r="AQ14" s="357" t="s">
        <v>124</v>
      </c>
      <c r="AR14" s="364" t="s">
        <v>6</v>
      </c>
      <c r="AS14" s="365"/>
      <c r="AT14" s="366"/>
      <c r="AU14" s="493">
        <f t="shared" si="0"/>
        <v>5</v>
      </c>
      <c r="AV14" s="494">
        <f t="shared" si="1"/>
        <v>5</v>
      </c>
      <c r="AW14" s="494">
        <f t="shared" si="2"/>
        <v>5</v>
      </c>
      <c r="AX14" s="494">
        <f t="shared" si="3"/>
        <v>5</v>
      </c>
      <c r="AY14" s="495">
        <f t="shared" si="4"/>
        <v>4</v>
      </c>
      <c r="AZ14" s="493"/>
      <c r="BA14" s="493">
        <f t="shared" si="5"/>
        <v>2</v>
      </c>
      <c r="BB14" s="494">
        <f t="shared" si="6"/>
        <v>2</v>
      </c>
      <c r="BC14" s="495">
        <f t="shared" si="7"/>
        <v>2</v>
      </c>
      <c r="BD14" s="489"/>
      <c r="BE14" s="490"/>
      <c r="BF14" s="491"/>
    </row>
    <row r="15" spans="1:59" ht="18.600000000000001" thickBot="1" x14ac:dyDescent="0.35">
      <c r="B15" s="103"/>
      <c r="C15" s="97"/>
      <c r="D15" s="492"/>
      <c r="E15" s="374">
        <v>7</v>
      </c>
      <c r="F15" s="374">
        <v>7</v>
      </c>
      <c r="G15" s="374">
        <v>7</v>
      </c>
      <c r="H15" s="374">
        <v>7</v>
      </c>
      <c r="I15" s="352"/>
      <c r="J15" s="375">
        <v>7</v>
      </c>
      <c r="K15" s="376">
        <v>7</v>
      </c>
      <c r="L15" s="360">
        <v>7</v>
      </c>
      <c r="M15" s="360">
        <v>7</v>
      </c>
      <c r="N15" s="378"/>
      <c r="O15" s="358">
        <v>7</v>
      </c>
      <c r="P15" s="358">
        <v>7</v>
      </c>
      <c r="Q15" s="379"/>
      <c r="R15" s="380"/>
      <c r="S15" s="368">
        <v>7</v>
      </c>
      <c r="T15" s="368">
        <v>7</v>
      </c>
      <c r="U15" s="368">
        <v>7</v>
      </c>
      <c r="V15" s="368">
        <v>7</v>
      </c>
      <c r="W15" s="367"/>
      <c r="X15" s="332">
        <v>7</v>
      </c>
      <c r="Y15" s="334">
        <v>7</v>
      </c>
      <c r="Z15" s="351">
        <v>7</v>
      </c>
      <c r="AA15" s="352"/>
      <c r="AB15" s="351">
        <v>7</v>
      </c>
      <c r="AC15" s="351">
        <v>7</v>
      </c>
      <c r="AD15" s="351">
        <v>7</v>
      </c>
      <c r="AE15" s="353"/>
      <c r="AF15" s="354"/>
      <c r="AG15" s="358">
        <v>7</v>
      </c>
      <c r="AH15" s="358">
        <v>7</v>
      </c>
      <c r="AI15" s="358">
        <v>7</v>
      </c>
      <c r="AJ15" s="359"/>
      <c r="AK15" s="360">
        <v>7</v>
      </c>
      <c r="AL15" s="361">
        <v>7</v>
      </c>
      <c r="AM15" s="362">
        <v>7</v>
      </c>
      <c r="AN15" s="367"/>
      <c r="AO15" s="351">
        <v>7</v>
      </c>
      <c r="AP15" s="360">
        <v>7</v>
      </c>
      <c r="AQ15" s="360">
        <v>7</v>
      </c>
      <c r="AR15" s="368">
        <v>7</v>
      </c>
      <c r="AS15" s="369"/>
      <c r="AT15" s="370"/>
      <c r="AU15" s="496"/>
      <c r="AV15" s="497"/>
      <c r="AW15" s="497"/>
      <c r="AX15" s="497"/>
      <c r="AY15" s="498"/>
      <c r="AZ15" s="499"/>
      <c r="BA15" s="496"/>
      <c r="BB15" s="497"/>
      <c r="BC15" s="498"/>
      <c r="BD15" s="489">
        <f>SUM(E15:AT15)</f>
        <v>210</v>
      </c>
      <c r="BE15" s="490">
        <f t="shared" ref="BE15:BE19" si="10">35*6*D14</f>
        <v>210</v>
      </c>
      <c r="BF15" s="491">
        <f t="shared" si="8"/>
        <v>0</v>
      </c>
      <c r="BG15">
        <f t="shared" si="9"/>
        <v>0</v>
      </c>
    </row>
    <row r="16" spans="1:59" ht="18" x14ac:dyDescent="0.3">
      <c r="B16" s="103">
        <v>5</v>
      </c>
      <c r="C16" s="97" t="s">
        <v>169</v>
      </c>
      <c r="D16" s="492">
        <v>1</v>
      </c>
      <c r="E16" s="363"/>
      <c r="F16" s="346" t="s">
        <v>9</v>
      </c>
      <c r="G16" s="357" t="s">
        <v>124</v>
      </c>
      <c r="H16" s="357" t="s">
        <v>124</v>
      </c>
      <c r="I16" s="364" t="s">
        <v>6</v>
      </c>
      <c r="J16" s="365"/>
      <c r="K16" s="366"/>
      <c r="L16" s="371" t="s">
        <v>141</v>
      </c>
      <c r="M16" s="371" t="s">
        <v>141</v>
      </c>
      <c r="N16" s="371" t="s">
        <v>141</v>
      </c>
      <c r="O16" s="371" t="s">
        <v>141</v>
      </c>
      <c r="P16" s="347"/>
      <c r="Q16" s="372" t="s">
        <v>157</v>
      </c>
      <c r="R16" s="373" t="s">
        <v>157</v>
      </c>
      <c r="S16" s="357" t="s">
        <v>124</v>
      </c>
      <c r="T16" s="357" t="s">
        <v>124</v>
      </c>
      <c r="U16" s="377"/>
      <c r="V16" s="355" t="s">
        <v>123</v>
      </c>
      <c r="W16" s="355" t="s">
        <v>123</v>
      </c>
      <c r="X16" s="365"/>
      <c r="Y16" s="366"/>
      <c r="Z16" s="364" t="s">
        <v>6</v>
      </c>
      <c r="AA16" s="364" t="s">
        <v>6</v>
      </c>
      <c r="AB16" s="364" t="s">
        <v>6</v>
      </c>
      <c r="AC16" s="364" t="s">
        <v>6</v>
      </c>
      <c r="AD16" s="363"/>
      <c r="AE16" s="381" t="s">
        <v>158</v>
      </c>
      <c r="AF16" s="382" t="s">
        <v>158</v>
      </c>
      <c r="AG16" s="346" t="s">
        <v>9</v>
      </c>
      <c r="AH16" s="347"/>
      <c r="AI16" s="346" t="s">
        <v>9</v>
      </c>
      <c r="AJ16" s="346" t="s">
        <v>9</v>
      </c>
      <c r="AK16" s="346" t="s">
        <v>9</v>
      </c>
      <c r="AL16" s="348"/>
      <c r="AM16" s="349"/>
      <c r="AN16" s="355" t="s">
        <v>123</v>
      </c>
      <c r="AO16" s="355" t="s">
        <v>123</v>
      </c>
      <c r="AP16" s="355" t="s">
        <v>123</v>
      </c>
      <c r="AQ16" s="356"/>
      <c r="AR16" s="357" t="s">
        <v>124</v>
      </c>
      <c r="AS16" s="237" t="s">
        <v>156</v>
      </c>
      <c r="AT16" s="239" t="s">
        <v>156</v>
      </c>
      <c r="AU16" s="476">
        <f t="shared" si="0"/>
        <v>5</v>
      </c>
      <c r="AV16" s="477">
        <f t="shared" si="1"/>
        <v>5</v>
      </c>
      <c r="AW16" s="477">
        <f t="shared" si="2"/>
        <v>5</v>
      </c>
      <c r="AX16" s="477">
        <f t="shared" si="3"/>
        <v>5</v>
      </c>
      <c r="AY16" s="478">
        <f t="shared" si="4"/>
        <v>4</v>
      </c>
      <c r="AZ16" s="476"/>
      <c r="BA16" s="476">
        <f t="shared" si="5"/>
        <v>2</v>
      </c>
      <c r="BB16" s="477">
        <f t="shared" si="6"/>
        <v>2</v>
      </c>
      <c r="BC16" s="478">
        <f t="shared" si="7"/>
        <v>2</v>
      </c>
      <c r="BD16" s="489"/>
      <c r="BE16" s="490"/>
      <c r="BF16" s="491"/>
    </row>
    <row r="17" spans="2:69" ht="18.600000000000001" thickBot="1" x14ac:dyDescent="0.35">
      <c r="B17" s="103"/>
      <c r="C17" s="97"/>
      <c r="D17" s="492"/>
      <c r="E17" s="367"/>
      <c r="F17" s="351">
        <v>7</v>
      </c>
      <c r="G17" s="360">
        <v>7</v>
      </c>
      <c r="H17" s="360">
        <v>7</v>
      </c>
      <c r="I17" s="368">
        <v>7</v>
      </c>
      <c r="J17" s="369"/>
      <c r="K17" s="370"/>
      <c r="L17" s="374">
        <v>7</v>
      </c>
      <c r="M17" s="374">
        <v>7</v>
      </c>
      <c r="N17" s="374">
        <v>7</v>
      </c>
      <c r="O17" s="374">
        <v>7</v>
      </c>
      <c r="P17" s="352"/>
      <c r="Q17" s="375">
        <v>7</v>
      </c>
      <c r="R17" s="376">
        <v>7</v>
      </c>
      <c r="S17" s="360">
        <v>7</v>
      </c>
      <c r="T17" s="360">
        <v>7</v>
      </c>
      <c r="U17" s="378"/>
      <c r="V17" s="358">
        <v>7</v>
      </c>
      <c r="W17" s="358">
        <v>7</v>
      </c>
      <c r="X17" s="379"/>
      <c r="Y17" s="380"/>
      <c r="Z17" s="368">
        <v>7</v>
      </c>
      <c r="AA17" s="368">
        <v>7</v>
      </c>
      <c r="AB17" s="368">
        <v>7</v>
      </c>
      <c r="AC17" s="368">
        <v>7</v>
      </c>
      <c r="AD17" s="367"/>
      <c r="AE17" s="332">
        <v>7</v>
      </c>
      <c r="AF17" s="334">
        <v>7</v>
      </c>
      <c r="AG17" s="351">
        <v>7</v>
      </c>
      <c r="AH17" s="352"/>
      <c r="AI17" s="351">
        <v>7</v>
      </c>
      <c r="AJ17" s="351">
        <v>7</v>
      </c>
      <c r="AK17" s="351">
        <v>7</v>
      </c>
      <c r="AL17" s="353"/>
      <c r="AM17" s="354"/>
      <c r="AN17" s="358">
        <v>7</v>
      </c>
      <c r="AO17" s="358">
        <v>7</v>
      </c>
      <c r="AP17" s="358">
        <v>7</v>
      </c>
      <c r="AQ17" s="359"/>
      <c r="AR17" s="360">
        <v>7</v>
      </c>
      <c r="AS17" s="361">
        <v>7</v>
      </c>
      <c r="AT17" s="362">
        <v>7</v>
      </c>
      <c r="AU17" s="485"/>
      <c r="AV17" s="486"/>
      <c r="AW17" s="486"/>
      <c r="AX17" s="486"/>
      <c r="AY17" s="487"/>
      <c r="AZ17" s="488"/>
      <c r="BA17" s="485"/>
      <c r="BB17" s="486"/>
      <c r="BC17" s="487"/>
      <c r="BD17" s="489">
        <f>SUM(E17:AT17)</f>
        <v>210</v>
      </c>
      <c r="BE17" s="490">
        <f t="shared" si="10"/>
        <v>210</v>
      </c>
      <c r="BF17" s="491">
        <f t="shared" si="8"/>
        <v>0</v>
      </c>
      <c r="BG17">
        <f t="shared" si="9"/>
        <v>0</v>
      </c>
    </row>
    <row r="18" spans="2:69" ht="18" x14ac:dyDescent="0.3">
      <c r="B18" s="103">
        <v>6</v>
      </c>
      <c r="C18" s="97" t="s">
        <v>170</v>
      </c>
      <c r="D18" s="492">
        <v>0.75</v>
      </c>
      <c r="E18" s="355" t="s">
        <v>123</v>
      </c>
      <c r="F18" s="355" t="s">
        <v>123</v>
      </c>
      <c r="G18" s="355" t="s">
        <v>123</v>
      </c>
      <c r="H18" s="356"/>
      <c r="I18" s="357" t="s">
        <v>124</v>
      </c>
      <c r="J18" s="237" t="s">
        <v>156</v>
      </c>
      <c r="K18" s="239" t="s">
        <v>156</v>
      </c>
      <c r="L18" s="363"/>
      <c r="M18" s="346" t="s">
        <v>9</v>
      </c>
      <c r="N18" s="357" t="s">
        <v>124</v>
      </c>
      <c r="O18" s="357" t="s">
        <v>124</v>
      </c>
      <c r="P18" s="364" t="s">
        <v>6</v>
      </c>
      <c r="Q18" s="365"/>
      <c r="R18" s="366"/>
      <c r="S18" s="371" t="s">
        <v>141</v>
      </c>
      <c r="T18" s="371" t="s">
        <v>141</v>
      </c>
      <c r="U18" s="371" t="s">
        <v>141</v>
      </c>
      <c r="V18" s="371" t="s">
        <v>141</v>
      </c>
      <c r="W18" s="347"/>
      <c r="X18" s="372" t="s">
        <v>157</v>
      </c>
      <c r="Y18" s="373" t="s">
        <v>157</v>
      </c>
      <c r="Z18" s="357" t="s">
        <v>124</v>
      </c>
      <c r="AA18" s="357" t="s">
        <v>124</v>
      </c>
      <c r="AB18" s="377"/>
      <c r="AC18" s="355" t="s">
        <v>123</v>
      </c>
      <c r="AD18" s="355" t="s">
        <v>123</v>
      </c>
      <c r="AE18" s="365"/>
      <c r="AF18" s="366"/>
      <c r="AG18" s="364" t="s">
        <v>6</v>
      </c>
      <c r="AH18" s="364" t="s">
        <v>6</v>
      </c>
      <c r="AI18" s="364" t="s">
        <v>6</v>
      </c>
      <c r="AJ18" s="364" t="s">
        <v>6</v>
      </c>
      <c r="AK18" s="363"/>
      <c r="AL18" s="381" t="s">
        <v>158</v>
      </c>
      <c r="AM18" s="382" t="s">
        <v>158</v>
      </c>
      <c r="AN18" s="346" t="s">
        <v>9</v>
      </c>
      <c r="AO18" s="347"/>
      <c r="AP18" s="346" t="s">
        <v>9</v>
      </c>
      <c r="AQ18" s="346" t="s">
        <v>9</v>
      </c>
      <c r="AR18" s="346" t="s">
        <v>9</v>
      </c>
      <c r="AS18" s="348"/>
      <c r="AT18" s="349"/>
      <c r="AU18" s="493">
        <f t="shared" si="0"/>
        <v>5</v>
      </c>
      <c r="AV18" s="494">
        <f t="shared" si="1"/>
        <v>5</v>
      </c>
      <c r="AW18" s="494">
        <f t="shared" si="2"/>
        <v>5</v>
      </c>
      <c r="AX18" s="494">
        <f t="shared" si="3"/>
        <v>5</v>
      </c>
      <c r="AY18" s="495">
        <f t="shared" si="4"/>
        <v>4</v>
      </c>
      <c r="AZ18" s="493"/>
      <c r="BA18" s="493">
        <f t="shared" si="5"/>
        <v>2</v>
      </c>
      <c r="BB18" s="494">
        <f t="shared" si="6"/>
        <v>2</v>
      </c>
      <c r="BC18" s="495">
        <f t="shared" si="7"/>
        <v>2</v>
      </c>
      <c r="BD18" s="489"/>
      <c r="BE18" s="490"/>
      <c r="BF18" s="491"/>
    </row>
    <row r="19" spans="2:69" ht="18.600000000000001" thickBot="1" x14ac:dyDescent="0.35">
      <c r="B19" s="103"/>
      <c r="C19" s="97"/>
      <c r="D19" s="492"/>
      <c r="E19" s="358">
        <v>7</v>
      </c>
      <c r="F19" s="358">
        <v>7</v>
      </c>
      <c r="G19" s="358">
        <v>7</v>
      </c>
      <c r="H19" s="359"/>
      <c r="I19" s="360">
        <v>7</v>
      </c>
      <c r="J19" s="361">
        <v>7</v>
      </c>
      <c r="K19" s="362">
        <v>7</v>
      </c>
      <c r="L19" s="367"/>
      <c r="M19" s="351">
        <v>7</v>
      </c>
      <c r="N19" s="360">
        <v>7</v>
      </c>
      <c r="O19" s="360">
        <v>7</v>
      </c>
      <c r="P19" s="368">
        <v>7</v>
      </c>
      <c r="Q19" s="369"/>
      <c r="R19" s="370"/>
      <c r="S19" s="374">
        <v>7</v>
      </c>
      <c r="T19" s="374">
        <v>7</v>
      </c>
      <c r="U19" s="374">
        <v>7</v>
      </c>
      <c r="V19" s="374">
        <v>7</v>
      </c>
      <c r="W19" s="352"/>
      <c r="X19" s="375">
        <v>7</v>
      </c>
      <c r="Y19" s="376">
        <v>7</v>
      </c>
      <c r="Z19" s="360">
        <v>7</v>
      </c>
      <c r="AA19" s="360">
        <v>7</v>
      </c>
      <c r="AB19" s="378"/>
      <c r="AC19" s="358">
        <v>7</v>
      </c>
      <c r="AD19" s="358">
        <v>7</v>
      </c>
      <c r="AE19" s="379"/>
      <c r="AF19" s="380"/>
      <c r="AG19" s="368">
        <v>7</v>
      </c>
      <c r="AH19" s="368">
        <v>7</v>
      </c>
      <c r="AI19" s="368">
        <v>7</v>
      </c>
      <c r="AJ19" s="368">
        <v>7</v>
      </c>
      <c r="AK19" s="367"/>
      <c r="AL19" s="332">
        <v>7</v>
      </c>
      <c r="AM19" s="334">
        <v>7</v>
      </c>
      <c r="AN19" s="351">
        <v>7</v>
      </c>
      <c r="AO19" s="352"/>
      <c r="AP19" s="351">
        <v>7</v>
      </c>
      <c r="AQ19" s="351">
        <v>7</v>
      </c>
      <c r="AR19" s="351">
        <v>7</v>
      </c>
      <c r="AS19" s="353"/>
      <c r="AT19" s="354"/>
      <c r="AU19" s="485"/>
      <c r="AV19" s="486"/>
      <c r="AW19" s="486"/>
      <c r="AX19" s="486"/>
      <c r="AY19" s="487"/>
      <c r="AZ19" s="493"/>
      <c r="BA19" s="485"/>
      <c r="BB19" s="486"/>
      <c r="BC19" s="487"/>
      <c r="BD19" s="502">
        <f>SUM(E19:AT19)</f>
        <v>210</v>
      </c>
      <c r="BE19" s="490">
        <f t="shared" si="10"/>
        <v>157.5</v>
      </c>
      <c r="BF19" s="503">
        <f>BD19-BE19</f>
        <v>52.5</v>
      </c>
      <c r="BG19">
        <f>BF19/7</f>
        <v>7.5</v>
      </c>
      <c r="BI19" s="167"/>
      <c r="BJ19" s="584"/>
      <c r="BK19" s="584"/>
      <c r="BL19" s="584"/>
      <c r="BM19" s="584"/>
      <c r="BN19" s="584"/>
      <c r="BO19" s="584"/>
    </row>
    <row r="20" spans="2:69" ht="18.600000000000001" thickBot="1" x14ac:dyDescent="0.35">
      <c r="B20" s="504"/>
      <c r="C20" s="505"/>
      <c r="D20" s="506" t="s">
        <v>172</v>
      </c>
      <c r="E20" s="507">
        <f>E9+E11+E13+E15+E17+E19</f>
        <v>35</v>
      </c>
      <c r="F20" s="508">
        <f t="shared" ref="F20:AT20" si="11">F9+F11+F13+F15+F17+F19</f>
        <v>35</v>
      </c>
      <c r="G20" s="508">
        <f t="shared" si="11"/>
        <v>35</v>
      </c>
      <c r="H20" s="508">
        <f t="shared" si="11"/>
        <v>35</v>
      </c>
      <c r="I20" s="509">
        <f t="shared" si="11"/>
        <v>28</v>
      </c>
      <c r="J20" s="510">
        <f t="shared" si="11"/>
        <v>21</v>
      </c>
      <c r="K20" s="511">
        <f t="shared" si="11"/>
        <v>21</v>
      </c>
      <c r="L20" s="507">
        <f t="shared" si="11"/>
        <v>35</v>
      </c>
      <c r="M20" s="508">
        <f t="shared" si="11"/>
        <v>35</v>
      </c>
      <c r="N20" s="508">
        <f t="shared" si="11"/>
        <v>35</v>
      </c>
      <c r="O20" s="508">
        <f t="shared" si="11"/>
        <v>35</v>
      </c>
      <c r="P20" s="509">
        <f t="shared" si="11"/>
        <v>28</v>
      </c>
      <c r="Q20" s="510">
        <f t="shared" si="11"/>
        <v>21</v>
      </c>
      <c r="R20" s="511">
        <f t="shared" si="11"/>
        <v>21</v>
      </c>
      <c r="S20" s="507">
        <f t="shared" si="11"/>
        <v>35</v>
      </c>
      <c r="T20" s="508">
        <f t="shared" si="11"/>
        <v>35</v>
      </c>
      <c r="U20" s="508">
        <f t="shared" si="11"/>
        <v>35</v>
      </c>
      <c r="V20" s="508">
        <f t="shared" si="11"/>
        <v>35</v>
      </c>
      <c r="W20" s="509">
        <f t="shared" si="11"/>
        <v>28</v>
      </c>
      <c r="X20" s="510">
        <f t="shared" si="11"/>
        <v>21</v>
      </c>
      <c r="Y20" s="511">
        <f t="shared" si="11"/>
        <v>21</v>
      </c>
      <c r="Z20" s="507">
        <f t="shared" si="11"/>
        <v>35</v>
      </c>
      <c r="AA20" s="508">
        <f t="shared" si="11"/>
        <v>35</v>
      </c>
      <c r="AB20" s="508">
        <f t="shared" si="11"/>
        <v>35</v>
      </c>
      <c r="AC20" s="508">
        <f t="shared" si="11"/>
        <v>35</v>
      </c>
      <c r="AD20" s="509">
        <f t="shared" si="11"/>
        <v>28</v>
      </c>
      <c r="AE20" s="510">
        <f t="shared" si="11"/>
        <v>21</v>
      </c>
      <c r="AF20" s="511">
        <f t="shared" si="11"/>
        <v>21</v>
      </c>
      <c r="AG20" s="507">
        <f t="shared" si="11"/>
        <v>35</v>
      </c>
      <c r="AH20" s="508">
        <f t="shared" si="11"/>
        <v>35</v>
      </c>
      <c r="AI20" s="508">
        <f t="shared" si="11"/>
        <v>35</v>
      </c>
      <c r="AJ20" s="508">
        <f t="shared" si="11"/>
        <v>35</v>
      </c>
      <c r="AK20" s="509">
        <f t="shared" si="11"/>
        <v>28</v>
      </c>
      <c r="AL20" s="510">
        <f t="shared" si="11"/>
        <v>21</v>
      </c>
      <c r="AM20" s="511">
        <f t="shared" si="11"/>
        <v>21</v>
      </c>
      <c r="AN20" s="507">
        <f t="shared" si="11"/>
        <v>35</v>
      </c>
      <c r="AO20" s="507">
        <f t="shared" si="11"/>
        <v>35</v>
      </c>
      <c r="AP20" s="507">
        <f t="shared" si="11"/>
        <v>35</v>
      </c>
      <c r="AQ20" s="507">
        <f t="shared" si="11"/>
        <v>35</v>
      </c>
      <c r="AR20" s="507">
        <f t="shared" si="11"/>
        <v>28</v>
      </c>
      <c r="AS20" s="510">
        <f t="shared" si="11"/>
        <v>21</v>
      </c>
      <c r="AT20" s="510">
        <f t="shared" si="11"/>
        <v>21</v>
      </c>
      <c r="AU20" s="512">
        <f>AU8+AU10+AU12+AU14+AU16+AU18</f>
        <v>30</v>
      </c>
      <c r="AV20" s="512">
        <f t="shared" ref="AV20:AY20" si="12">AV8+AV10+AV12+AV14+AV16+AV18</f>
        <v>30</v>
      </c>
      <c r="AW20" s="512">
        <f t="shared" si="12"/>
        <v>30</v>
      </c>
      <c r="AX20" s="512">
        <f t="shared" si="12"/>
        <v>30</v>
      </c>
      <c r="AY20" s="512">
        <f t="shared" si="12"/>
        <v>24</v>
      </c>
      <c r="AZ20" s="512"/>
      <c r="BA20" s="512">
        <f>BA8+BA10+BA12+BA14+BA16+BA18</f>
        <v>12</v>
      </c>
      <c r="BB20" s="512">
        <f t="shared" ref="BB20:BC20" si="13">BB8+BB10+BB12+BB14+BB16+BB18</f>
        <v>12</v>
      </c>
      <c r="BC20" s="512">
        <f t="shared" si="13"/>
        <v>12</v>
      </c>
      <c r="BD20" s="513">
        <f>BD19/6*52/1820</f>
        <v>1</v>
      </c>
      <c r="BE20" s="514"/>
      <c r="BF20" s="515"/>
      <c r="BI20" s="583"/>
      <c r="BJ20" s="583"/>
      <c r="BK20" s="583"/>
      <c r="BL20" s="583"/>
      <c r="BM20" s="583"/>
      <c r="BN20" s="583"/>
      <c r="BO20" s="583"/>
    </row>
    <row r="21" spans="2:69" ht="18" x14ac:dyDescent="0.3">
      <c r="B21" s="350"/>
      <c r="C21" s="516"/>
      <c r="D21" s="364" t="s">
        <v>6</v>
      </c>
      <c r="E21" s="237">
        <f>COUNTIF(E$8:E$19,"A")</f>
        <v>1</v>
      </c>
      <c r="F21" s="517">
        <f t="shared" ref="F21:AR21" si="14">COUNTIF(F$8:F$19,"A")</f>
        <v>1</v>
      </c>
      <c r="G21" s="517">
        <f t="shared" si="14"/>
        <v>1</v>
      </c>
      <c r="H21" s="517">
        <f t="shared" si="14"/>
        <v>1</v>
      </c>
      <c r="I21" s="239">
        <f t="shared" si="14"/>
        <v>1</v>
      </c>
      <c r="J21" s="518"/>
      <c r="K21" s="519"/>
      <c r="L21" s="237">
        <f t="shared" si="14"/>
        <v>1</v>
      </c>
      <c r="M21" s="517">
        <f t="shared" si="14"/>
        <v>1</v>
      </c>
      <c r="N21" s="517">
        <f t="shared" si="14"/>
        <v>1</v>
      </c>
      <c r="O21" s="517">
        <f t="shared" si="14"/>
        <v>1</v>
      </c>
      <c r="P21" s="239">
        <f t="shared" si="14"/>
        <v>1</v>
      </c>
      <c r="Q21" s="518"/>
      <c r="R21" s="520"/>
      <c r="S21" s="237">
        <f t="shared" si="14"/>
        <v>1</v>
      </c>
      <c r="T21" s="517">
        <f t="shared" si="14"/>
        <v>1</v>
      </c>
      <c r="U21" s="517">
        <f t="shared" si="14"/>
        <v>1</v>
      </c>
      <c r="V21" s="517">
        <f t="shared" si="14"/>
        <v>1</v>
      </c>
      <c r="W21" s="239">
        <f t="shared" si="14"/>
        <v>1</v>
      </c>
      <c r="X21" s="518"/>
      <c r="Y21" s="519"/>
      <c r="Z21" s="237">
        <f t="shared" si="14"/>
        <v>1</v>
      </c>
      <c r="AA21" s="517">
        <f t="shared" si="14"/>
        <v>1</v>
      </c>
      <c r="AB21" s="517">
        <f t="shared" si="14"/>
        <v>1</v>
      </c>
      <c r="AC21" s="517">
        <f t="shared" si="14"/>
        <v>1</v>
      </c>
      <c r="AD21" s="239">
        <f t="shared" si="14"/>
        <v>1</v>
      </c>
      <c r="AE21" s="518"/>
      <c r="AF21" s="519"/>
      <c r="AG21" s="237">
        <f t="shared" si="14"/>
        <v>1</v>
      </c>
      <c r="AH21" s="517">
        <f t="shared" si="14"/>
        <v>1</v>
      </c>
      <c r="AI21" s="517">
        <f t="shared" si="14"/>
        <v>1</v>
      </c>
      <c r="AJ21" s="517">
        <f t="shared" si="14"/>
        <v>1</v>
      </c>
      <c r="AK21" s="239">
        <f t="shared" si="14"/>
        <v>1</v>
      </c>
      <c r="AL21" s="518"/>
      <c r="AM21" s="519"/>
      <c r="AN21" s="237">
        <f t="shared" si="14"/>
        <v>1</v>
      </c>
      <c r="AO21" s="517">
        <f t="shared" si="14"/>
        <v>1</v>
      </c>
      <c r="AP21" s="517">
        <f t="shared" si="14"/>
        <v>1</v>
      </c>
      <c r="AQ21" s="517">
        <f t="shared" si="14"/>
        <v>1</v>
      </c>
      <c r="AR21" s="239">
        <f t="shared" si="14"/>
        <v>1</v>
      </c>
      <c r="AS21" s="518"/>
      <c r="AT21" s="519"/>
      <c r="AU21" s="521"/>
      <c r="AV21" s="522"/>
      <c r="AW21" s="523"/>
      <c r="AX21" s="524"/>
      <c r="AY21" s="524"/>
      <c r="AZ21" s="524"/>
      <c r="BA21" s="524"/>
      <c r="BB21" s="524"/>
      <c r="BC21" s="525"/>
      <c r="BD21" s="170"/>
      <c r="BE21" s="526"/>
      <c r="BF21" s="515"/>
      <c r="BG21" s="183"/>
      <c r="BH21" s="183"/>
      <c r="BI21" s="583"/>
      <c r="BJ21" s="583"/>
      <c r="BK21" s="583"/>
      <c r="BL21" s="583"/>
      <c r="BM21" s="583"/>
      <c r="BN21" s="583"/>
      <c r="BO21" s="583"/>
      <c r="BP21" s="183"/>
      <c r="BQ21" s="183"/>
    </row>
    <row r="22" spans="2:69" ht="18" x14ac:dyDescent="0.3">
      <c r="B22" s="527"/>
      <c r="C22" s="528"/>
      <c r="D22" s="529" t="s">
        <v>123</v>
      </c>
      <c r="E22" s="405">
        <f>COUNTIF(E$8:E$19,"C")</f>
        <v>1</v>
      </c>
      <c r="F22" s="398">
        <f t="shared" ref="F22:AR22" si="15">COUNTIF(F$8:F$19,"C")</f>
        <v>1</v>
      </c>
      <c r="G22" s="398">
        <f t="shared" si="15"/>
        <v>1</v>
      </c>
      <c r="H22" s="398">
        <f t="shared" si="15"/>
        <v>1</v>
      </c>
      <c r="I22" s="399">
        <f t="shared" si="15"/>
        <v>1</v>
      </c>
      <c r="J22" s="530"/>
      <c r="K22" s="531"/>
      <c r="L22" s="405">
        <f t="shared" si="15"/>
        <v>1</v>
      </c>
      <c r="M22" s="398">
        <f t="shared" si="15"/>
        <v>1</v>
      </c>
      <c r="N22" s="398">
        <f t="shared" si="15"/>
        <v>1</v>
      </c>
      <c r="O22" s="398">
        <f t="shared" si="15"/>
        <v>1</v>
      </c>
      <c r="P22" s="399">
        <f t="shared" si="15"/>
        <v>1</v>
      </c>
      <c r="Q22" s="530"/>
      <c r="R22" s="532"/>
      <c r="S22" s="405">
        <f t="shared" si="15"/>
        <v>1</v>
      </c>
      <c r="T22" s="398">
        <f t="shared" si="15"/>
        <v>1</v>
      </c>
      <c r="U22" s="398">
        <f t="shared" si="15"/>
        <v>1</v>
      </c>
      <c r="V22" s="398">
        <f t="shared" si="15"/>
        <v>1</v>
      </c>
      <c r="W22" s="399">
        <f t="shared" si="15"/>
        <v>1</v>
      </c>
      <c r="X22" s="530"/>
      <c r="Y22" s="531"/>
      <c r="Z22" s="405">
        <f t="shared" si="15"/>
        <v>1</v>
      </c>
      <c r="AA22" s="398">
        <f t="shared" si="15"/>
        <v>1</v>
      </c>
      <c r="AB22" s="398">
        <f t="shared" si="15"/>
        <v>1</v>
      </c>
      <c r="AC22" s="398">
        <f t="shared" si="15"/>
        <v>1</v>
      </c>
      <c r="AD22" s="399">
        <f t="shared" si="15"/>
        <v>1</v>
      </c>
      <c r="AE22" s="530"/>
      <c r="AF22" s="531"/>
      <c r="AG22" s="405">
        <f t="shared" si="15"/>
        <v>1</v>
      </c>
      <c r="AH22" s="398">
        <f t="shared" si="15"/>
        <v>1</v>
      </c>
      <c r="AI22" s="398">
        <f t="shared" si="15"/>
        <v>1</v>
      </c>
      <c r="AJ22" s="398">
        <f t="shared" si="15"/>
        <v>1</v>
      </c>
      <c r="AK22" s="399">
        <f t="shared" si="15"/>
        <v>1</v>
      </c>
      <c r="AL22" s="530"/>
      <c r="AM22" s="531"/>
      <c r="AN22" s="405">
        <f t="shared" si="15"/>
        <v>1</v>
      </c>
      <c r="AO22" s="398">
        <f t="shared" si="15"/>
        <v>1</v>
      </c>
      <c r="AP22" s="398">
        <f t="shared" si="15"/>
        <v>1</v>
      </c>
      <c r="AQ22" s="398">
        <f t="shared" si="15"/>
        <v>1</v>
      </c>
      <c r="AR22" s="399">
        <f t="shared" si="15"/>
        <v>1</v>
      </c>
      <c r="AS22" s="530"/>
      <c r="AT22" s="531"/>
      <c r="AU22" s="533"/>
      <c r="AV22" s="534"/>
      <c r="AW22" s="535" t="s">
        <v>174</v>
      </c>
      <c r="AX22" s="524"/>
      <c r="AY22" s="524"/>
      <c r="AZ22" s="524"/>
      <c r="BA22" s="524"/>
      <c r="BB22" s="524"/>
      <c r="BC22" s="534"/>
      <c r="BD22" s="536"/>
      <c r="BE22" s="537"/>
      <c r="BF22" s="537"/>
      <c r="BG22" s="538"/>
      <c r="BH22" s="538"/>
      <c r="BI22" s="583"/>
      <c r="BJ22" s="583"/>
      <c r="BK22" s="583"/>
      <c r="BL22" s="583"/>
      <c r="BM22" s="583"/>
      <c r="BN22" s="583"/>
      <c r="BO22" s="583"/>
      <c r="BP22" s="538"/>
      <c r="BQ22" s="538"/>
    </row>
    <row r="23" spans="2:69" ht="18" x14ac:dyDescent="0.3">
      <c r="B23" s="350"/>
      <c r="C23" s="539"/>
      <c r="D23" s="441" t="s">
        <v>9</v>
      </c>
      <c r="E23" s="405">
        <f>COUNTIF(E$8:E$19,"B")</f>
        <v>1</v>
      </c>
      <c r="F23" s="398">
        <f t="shared" ref="F23:AR23" si="16">COUNTIF(F$8:F$19,"B")</f>
        <v>1</v>
      </c>
      <c r="G23" s="398">
        <f t="shared" si="16"/>
        <v>1</v>
      </c>
      <c r="H23" s="398">
        <f t="shared" si="16"/>
        <v>1</v>
      </c>
      <c r="I23" s="399">
        <f t="shared" si="16"/>
        <v>1</v>
      </c>
      <c r="J23" s="530"/>
      <c r="K23" s="531"/>
      <c r="L23" s="405">
        <f t="shared" si="16"/>
        <v>1</v>
      </c>
      <c r="M23" s="398">
        <f t="shared" si="16"/>
        <v>1</v>
      </c>
      <c r="N23" s="398">
        <f t="shared" si="16"/>
        <v>1</v>
      </c>
      <c r="O23" s="398">
        <f t="shared" si="16"/>
        <v>1</v>
      </c>
      <c r="P23" s="399">
        <f t="shared" si="16"/>
        <v>1</v>
      </c>
      <c r="Q23" s="530"/>
      <c r="R23" s="532"/>
      <c r="S23" s="405">
        <f t="shared" si="16"/>
        <v>1</v>
      </c>
      <c r="T23" s="398">
        <f t="shared" si="16"/>
        <v>1</v>
      </c>
      <c r="U23" s="398">
        <f t="shared" si="16"/>
        <v>1</v>
      </c>
      <c r="V23" s="398">
        <f t="shared" si="16"/>
        <v>1</v>
      </c>
      <c r="W23" s="399">
        <f t="shared" si="16"/>
        <v>1</v>
      </c>
      <c r="X23" s="530"/>
      <c r="Y23" s="531"/>
      <c r="Z23" s="405">
        <f t="shared" si="16"/>
        <v>1</v>
      </c>
      <c r="AA23" s="398">
        <f t="shared" si="16"/>
        <v>1</v>
      </c>
      <c r="AB23" s="398">
        <f t="shared" si="16"/>
        <v>1</v>
      </c>
      <c r="AC23" s="398">
        <f t="shared" si="16"/>
        <v>1</v>
      </c>
      <c r="AD23" s="399">
        <f t="shared" si="16"/>
        <v>1</v>
      </c>
      <c r="AE23" s="530"/>
      <c r="AF23" s="531"/>
      <c r="AG23" s="405">
        <f t="shared" si="16"/>
        <v>1</v>
      </c>
      <c r="AH23" s="398">
        <f t="shared" si="16"/>
        <v>1</v>
      </c>
      <c r="AI23" s="398">
        <f t="shared" si="16"/>
        <v>1</v>
      </c>
      <c r="AJ23" s="398">
        <f t="shared" si="16"/>
        <v>1</v>
      </c>
      <c r="AK23" s="399">
        <f t="shared" si="16"/>
        <v>1</v>
      </c>
      <c r="AL23" s="530"/>
      <c r="AM23" s="531"/>
      <c r="AN23" s="405">
        <f t="shared" si="16"/>
        <v>1</v>
      </c>
      <c r="AO23" s="398">
        <f t="shared" si="16"/>
        <v>1</v>
      </c>
      <c r="AP23" s="398">
        <f t="shared" si="16"/>
        <v>1</v>
      </c>
      <c r="AQ23" s="398">
        <f t="shared" si="16"/>
        <v>1</v>
      </c>
      <c r="AR23" s="399">
        <f t="shared" si="16"/>
        <v>1</v>
      </c>
      <c r="AS23" s="530"/>
      <c r="AT23" s="531"/>
      <c r="AU23" s="540"/>
      <c r="AV23" s="522"/>
      <c r="AW23" s="541"/>
      <c r="AX23" s="524"/>
      <c r="AY23" s="524"/>
      <c r="AZ23" s="524"/>
      <c r="BA23" s="524"/>
      <c r="BB23" s="524"/>
      <c r="BC23" s="525"/>
      <c r="BD23" s="170"/>
      <c r="BE23" s="526"/>
      <c r="BF23" s="515"/>
      <c r="BG23" s="183"/>
      <c r="BH23" s="183"/>
      <c r="BI23" s="184"/>
      <c r="BJ23" s="184"/>
      <c r="BK23" s="184"/>
      <c r="BL23" s="184"/>
      <c r="BM23" s="184"/>
      <c r="BN23" s="184"/>
      <c r="BO23" s="184"/>
      <c r="BP23" s="183"/>
      <c r="BQ23" s="183"/>
    </row>
    <row r="24" spans="2:69" ht="18" x14ac:dyDescent="0.3">
      <c r="B24" s="350"/>
      <c r="C24" s="539"/>
      <c r="D24" s="542" t="s">
        <v>124</v>
      </c>
      <c r="E24" s="405">
        <f>COUNTIF(E$8:E$19,"J")</f>
        <v>1</v>
      </c>
      <c r="F24" s="398">
        <f t="shared" ref="F24:AR24" si="17">COUNTIF(F$8:F$19,"J")</f>
        <v>1</v>
      </c>
      <c r="G24" s="398">
        <f t="shared" si="17"/>
        <v>1</v>
      </c>
      <c r="H24" s="398">
        <f t="shared" si="17"/>
        <v>1</v>
      </c>
      <c r="I24" s="399">
        <f t="shared" si="17"/>
        <v>1</v>
      </c>
      <c r="J24" s="530"/>
      <c r="K24" s="531"/>
      <c r="L24" s="405">
        <f t="shared" si="17"/>
        <v>1</v>
      </c>
      <c r="M24" s="398">
        <f t="shared" si="17"/>
        <v>1</v>
      </c>
      <c r="N24" s="398">
        <f t="shared" si="17"/>
        <v>1</v>
      </c>
      <c r="O24" s="398">
        <f t="shared" si="17"/>
        <v>1</v>
      </c>
      <c r="P24" s="399">
        <f t="shared" si="17"/>
        <v>1</v>
      </c>
      <c r="Q24" s="530"/>
      <c r="R24" s="532"/>
      <c r="S24" s="405">
        <f t="shared" si="17"/>
        <v>1</v>
      </c>
      <c r="T24" s="398">
        <f t="shared" si="17"/>
        <v>1</v>
      </c>
      <c r="U24" s="398">
        <f t="shared" si="17"/>
        <v>1</v>
      </c>
      <c r="V24" s="398">
        <f t="shared" si="17"/>
        <v>1</v>
      </c>
      <c r="W24" s="399">
        <f t="shared" si="17"/>
        <v>1</v>
      </c>
      <c r="X24" s="530"/>
      <c r="Y24" s="531"/>
      <c r="Z24" s="405">
        <f t="shared" si="17"/>
        <v>1</v>
      </c>
      <c r="AA24" s="398">
        <f t="shared" si="17"/>
        <v>1</v>
      </c>
      <c r="AB24" s="398">
        <f t="shared" si="17"/>
        <v>1</v>
      </c>
      <c r="AC24" s="398">
        <f t="shared" si="17"/>
        <v>1</v>
      </c>
      <c r="AD24" s="399">
        <f t="shared" si="17"/>
        <v>1</v>
      </c>
      <c r="AE24" s="530"/>
      <c r="AF24" s="531"/>
      <c r="AG24" s="405">
        <f t="shared" si="17"/>
        <v>1</v>
      </c>
      <c r="AH24" s="398">
        <f t="shared" si="17"/>
        <v>1</v>
      </c>
      <c r="AI24" s="398">
        <f t="shared" si="17"/>
        <v>1</v>
      </c>
      <c r="AJ24" s="398">
        <f t="shared" si="17"/>
        <v>1</v>
      </c>
      <c r="AK24" s="399">
        <f t="shared" si="17"/>
        <v>1</v>
      </c>
      <c r="AL24" s="530"/>
      <c r="AM24" s="531"/>
      <c r="AN24" s="405">
        <f t="shared" si="17"/>
        <v>1</v>
      </c>
      <c r="AO24" s="398">
        <f t="shared" si="17"/>
        <v>1</v>
      </c>
      <c r="AP24" s="398">
        <f t="shared" si="17"/>
        <v>1</v>
      </c>
      <c r="AQ24" s="398">
        <f t="shared" si="17"/>
        <v>1</v>
      </c>
      <c r="AR24" s="399">
        <f t="shared" si="17"/>
        <v>1</v>
      </c>
      <c r="AS24" s="530"/>
      <c r="AT24" s="531"/>
      <c r="AU24" s="540"/>
      <c r="AV24" s="522"/>
      <c r="AW24" s="543" t="s">
        <v>175</v>
      </c>
      <c r="AX24" s="524"/>
      <c r="AY24" s="524"/>
      <c r="AZ24" s="524"/>
      <c r="BA24" s="524"/>
      <c r="BB24" s="524"/>
      <c r="BC24" s="525"/>
      <c r="BD24" s="170"/>
      <c r="BE24" s="526"/>
      <c r="BF24" s="515"/>
      <c r="BG24" s="183"/>
      <c r="BH24" s="183"/>
      <c r="BI24" s="184"/>
      <c r="BJ24" s="184"/>
      <c r="BK24" s="184"/>
      <c r="BL24" s="184"/>
      <c r="BM24" s="184"/>
      <c r="BN24" s="184"/>
      <c r="BO24" s="184"/>
      <c r="BP24" s="183"/>
      <c r="BQ24" s="183"/>
    </row>
    <row r="25" spans="2:69" ht="18.600000000000001" thickBot="1" x14ac:dyDescent="0.35">
      <c r="B25" s="544"/>
      <c r="C25" s="545"/>
      <c r="D25" s="374" t="s">
        <v>141</v>
      </c>
      <c r="E25" s="546">
        <f>COUNTIF(E$8:E$19,"X")</f>
        <v>1</v>
      </c>
      <c r="F25" s="547">
        <f t="shared" ref="F25:AR25" si="18">COUNTIF(F$8:F$19,"X")</f>
        <v>1</v>
      </c>
      <c r="G25" s="547">
        <f t="shared" si="18"/>
        <v>1</v>
      </c>
      <c r="H25" s="547">
        <f t="shared" si="18"/>
        <v>1</v>
      </c>
      <c r="I25" s="548">
        <f t="shared" si="18"/>
        <v>0</v>
      </c>
      <c r="J25" s="549"/>
      <c r="K25" s="550"/>
      <c r="L25" s="546">
        <f t="shared" si="18"/>
        <v>1</v>
      </c>
      <c r="M25" s="547">
        <f t="shared" si="18"/>
        <v>1</v>
      </c>
      <c r="N25" s="547">
        <f t="shared" si="18"/>
        <v>1</v>
      </c>
      <c r="O25" s="547">
        <f t="shared" si="18"/>
        <v>1</v>
      </c>
      <c r="P25" s="548">
        <f t="shared" si="18"/>
        <v>0</v>
      </c>
      <c r="Q25" s="549"/>
      <c r="R25" s="551"/>
      <c r="S25" s="546">
        <f t="shared" si="18"/>
        <v>1</v>
      </c>
      <c r="T25" s="547">
        <f t="shared" si="18"/>
        <v>1</v>
      </c>
      <c r="U25" s="547">
        <f t="shared" si="18"/>
        <v>1</v>
      </c>
      <c r="V25" s="547">
        <f t="shared" si="18"/>
        <v>1</v>
      </c>
      <c r="W25" s="548">
        <f t="shared" si="18"/>
        <v>0</v>
      </c>
      <c r="X25" s="549"/>
      <c r="Y25" s="550"/>
      <c r="Z25" s="546">
        <f t="shared" si="18"/>
        <v>1</v>
      </c>
      <c r="AA25" s="547">
        <f t="shared" si="18"/>
        <v>1</v>
      </c>
      <c r="AB25" s="547">
        <f t="shared" si="18"/>
        <v>1</v>
      </c>
      <c r="AC25" s="547">
        <f t="shared" si="18"/>
        <v>1</v>
      </c>
      <c r="AD25" s="548">
        <f t="shared" si="18"/>
        <v>0</v>
      </c>
      <c r="AE25" s="549"/>
      <c r="AF25" s="550"/>
      <c r="AG25" s="546">
        <f t="shared" si="18"/>
        <v>1</v>
      </c>
      <c r="AH25" s="547">
        <f t="shared" si="18"/>
        <v>1</v>
      </c>
      <c r="AI25" s="547">
        <f t="shared" si="18"/>
        <v>1</v>
      </c>
      <c r="AJ25" s="547">
        <f t="shared" si="18"/>
        <v>1</v>
      </c>
      <c r="AK25" s="548">
        <f t="shared" si="18"/>
        <v>0</v>
      </c>
      <c r="AL25" s="549"/>
      <c r="AM25" s="550"/>
      <c r="AN25" s="546">
        <f t="shared" si="18"/>
        <v>1</v>
      </c>
      <c r="AO25" s="547">
        <f t="shared" si="18"/>
        <v>1</v>
      </c>
      <c r="AP25" s="547">
        <f t="shared" si="18"/>
        <v>1</v>
      </c>
      <c r="AQ25" s="547">
        <f t="shared" si="18"/>
        <v>1</v>
      </c>
      <c r="AR25" s="548">
        <f t="shared" si="18"/>
        <v>0</v>
      </c>
      <c r="AS25" s="549"/>
      <c r="AT25" s="550"/>
      <c r="AU25" s="552"/>
      <c r="AV25" s="525"/>
      <c r="AW25" s="553"/>
      <c r="AX25" s="524"/>
      <c r="AY25" s="524"/>
      <c r="AZ25" s="524"/>
      <c r="BA25" s="524"/>
      <c r="BB25" s="524"/>
      <c r="BC25" s="525"/>
      <c r="BD25" s="554"/>
      <c r="BE25" s="555"/>
      <c r="BF25" s="555"/>
      <c r="BG25" s="556"/>
      <c r="BH25" s="556"/>
      <c r="BI25" s="556"/>
      <c r="BJ25" s="556"/>
      <c r="BK25" s="556"/>
      <c r="BL25" s="556"/>
      <c r="BM25" s="556"/>
      <c r="BN25" s="556"/>
      <c r="BO25" s="556"/>
      <c r="BP25" s="556"/>
      <c r="BQ25" s="556"/>
    </row>
    <row r="26" spans="2:69" ht="18" x14ac:dyDescent="0.3">
      <c r="B26" s="557"/>
      <c r="C26" s="558"/>
      <c r="D26" s="364" t="s">
        <v>156</v>
      </c>
      <c r="E26" s="237"/>
      <c r="F26" s="517"/>
      <c r="G26" s="517"/>
      <c r="H26" s="517"/>
      <c r="I26" s="239"/>
      <c r="J26" s="518">
        <f t="shared" ref="J26:AT26" si="19">COUNTIF(J$8:J$19,"Aw")</f>
        <v>1</v>
      </c>
      <c r="K26" s="519">
        <f t="shared" si="19"/>
        <v>1</v>
      </c>
      <c r="L26" s="237"/>
      <c r="M26" s="517"/>
      <c r="N26" s="517"/>
      <c r="O26" s="517"/>
      <c r="P26" s="559"/>
      <c r="Q26" s="518">
        <f t="shared" si="19"/>
        <v>1</v>
      </c>
      <c r="R26" s="519">
        <f t="shared" si="19"/>
        <v>1</v>
      </c>
      <c r="S26" s="237"/>
      <c r="T26" s="517"/>
      <c r="U26" s="517"/>
      <c r="V26" s="517"/>
      <c r="W26" s="239"/>
      <c r="X26" s="518">
        <f t="shared" si="19"/>
        <v>1</v>
      </c>
      <c r="Y26" s="519">
        <f t="shared" si="19"/>
        <v>1</v>
      </c>
      <c r="Z26" s="237"/>
      <c r="AA26" s="517"/>
      <c r="AB26" s="517"/>
      <c r="AC26" s="517"/>
      <c r="AD26" s="239"/>
      <c r="AE26" s="518">
        <f t="shared" si="19"/>
        <v>1</v>
      </c>
      <c r="AF26" s="519">
        <f t="shared" si="19"/>
        <v>1</v>
      </c>
      <c r="AG26" s="237"/>
      <c r="AH26" s="517"/>
      <c r="AI26" s="517"/>
      <c r="AJ26" s="517"/>
      <c r="AK26" s="239"/>
      <c r="AL26" s="518">
        <f t="shared" si="19"/>
        <v>1</v>
      </c>
      <c r="AM26" s="519">
        <f t="shared" si="19"/>
        <v>1</v>
      </c>
      <c r="AN26" s="237"/>
      <c r="AO26" s="517"/>
      <c r="AP26" s="517"/>
      <c r="AQ26" s="517"/>
      <c r="AR26" s="239"/>
      <c r="AS26" s="518">
        <f t="shared" si="19"/>
        <v>1</v>
      </c>
      <c r="AT26" s="519">
        <f t="shared" si="19"/>
        <v>1</v>
      </c>
      <c r="AU26" s="560"/>
      <c r="AV26" s="561"/>
      <c r="AW26" s="562" t="s">
        <v>176</v>
      </c>
      <c r="AX26" s="524"/>
      <c r="AY26" s="524"/>
      <c r="AZ26" s="524"/>
      <c r="BA26" s="524"/>
      <c r="BB26" s="524"/>
      <c r="BC26" s="561"/>
      <c r="BD26" s="563"/>
      <c r="BE26" s="564"/>
      <c r="BF26" s="564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</row>
    <row r="27" spans="2:69" ht="18" x14ac:dyDescent="0.3">
      <c r="B27" s="566"/>
      <c r="C27" s="567"/>
      <c r="D27" s="529" t="s">
        <v>157</v>
      </c>
      <c r="E27" s="405"/>
      <c r="F27" s="398"/>
      <c r="G27" s="398"/>
      <c r="H27" s="398"/>
      <c r="I27" s="399"/>
      <c r="J27" s="530">
        <f t="shared" ref="J27:AT27" si="20">COUNTIF(J$8:J$19,"Cw")</f>
        <v>1</v>
      </c>
      <c r="K27" s="531">
        <f t="shared" si="20"/>
        <v>1</v>
      </c>
      <c r="L27" s="405"/>
      <c r="M27" s="398"/>
      <c r="N27" s="398"/>
      <c r="O27" s="398"/>
      <c r="P27" s="568"/>
      <c r="Q27" s="530">
        <f t="shared" si="20"/>
        <v>1</v>
      </c>
      <c r="R27" s="531">
        <f t="shared" si="20"/>
        <v>1</v>
      </c>
      <c r="S27" s="405"/>
      <c r="T27" s="398"/>
      <c r="U27" s="398"/>
      <c r="V27" s="398"/>
      <c r="W27" s="399"/>
      <c r="X27" s="530">
        <f t="shared" si="20"/>
        <v>1</v>
      </c>
      <c r="Y27" s="531">
        <f t="shared" si="20"/>
        <v>1</v>
      </c>
      <c r="Z27" s="405"/>
      <c r="AA27" s="398"/>
      <c r="AB27" s="398"/>
      <c r="AC27" s="398"/>
      <c r="AD27" s="399"/>
      <c r="AE27" s="530">
        <f t="shared" si="20"/>
        <v>1</v>
      </c>
      <c r="AF27" s="531">
        <f t="shared" si="20"/>
        <v>1</v>
      </c>
      <c r="AG27" s="405"/>
      <c r="AH27" s="398"/>
      <c r="AI27" s="398"/>
      <c r="AJ27" s="398"/>
      <c r="AK27" s="399"/>
      <c r="AL27" s="530">
        <f t="shared" si="20"/>
        <v>1</v>
      </c>
      <c r="AM27" s="531">
        <f t="shared" si="20"/>
        <v>1</v>
      </c>
      <c r="AN27" s="405"/>
      <c r="AO27" s="398"/>
      <c r="AP27" s="398"/>
      <c r="AQ27" s="398"/>
      <c r="AR27" s="399"/>
      <c r="AS27" s="530">
        <f t="shared" si="20"/>
        <v>1</v>
      </c>
      <c r="AT27" s="531">
        <f t="shared" si="20"/>
        <v>1</v>
      </c>
      <c r="AU27" s="569"/>
      <c r="AV27" s="570"/>
      <c r="AW27" s="571"/>
      <c r="AX27" s="524"/>
      <c r="AY27" s="524"/>
      <c r="AZ27" s="524"/>
      <c r="BA27" s="524"/>
      <c r="BB27" s="524"/>
      <c r="BC27" s="570"/>
      <c r="BD27" s="572"/>
      <c r="BE27" s="573"/>
      <c r="BF27" s="573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</row>
    <row r="28" spans="2:69" ht="18.600000000000001" thickBot="1" x14ac:dyDescent="0.35">
      <c r="B28" s="575"/>
      <c r="C28" s="576"/>
      <c r="D28" s="351" t="s">
        <v>158</v>
      </c>
      <c r="E28" s="546"/>
      <c r="F28" s="547"/>
      <c r="G28" s="547"/>
      <c r="H28" s="547"/>
      <c r="I28" s="548"/>
      <c r="J28" s="549">
        <f t="shared" ref="J28:AT28" si="21">COUNTIF(J$8:J$19,"Bw")</f>
        <v>1</v>
      </c>
      <c r="K28" s="550">
        <f t="shared" si="21"/>
        <v>1</v>
      </c>
      <c r="L28" s="546"/>
      <c r="M28" s="547"/>
      <c r="N28" s="547"/>
      <c r="O28" s="547"/>
      <c r="P28" s="577"/>
      <c r="Q28" s="549">
        <f t="shared" si="21"/>
        <v>1</v>
      </c>
      <c r="R28" s="550">
        <f t="shared" si="21"/>
        <v>1</v>
      </c>
      <c r="S28" s="546"/>
      <c r="T28" s="547"/>
      <c r="U28" s="547"/>
      <c r="V28" s="547"/>
      <c r="W28" s="548"/>
      <c r="X28" s="549">
        <f t="shared" si="21"/>
        <v>1</v>
      </c>
      <c r="Y28" s="550">
        <f t="shared" si="21"/>
        <v>1</v>
      </c>
      <c r="Z28" s="546"/>
      <c r="AA28" s="547"/>
      <c r="AB28" s="547"/>
      <c r="AC28" s="547"/>
      <c r="AD28" s="548"/>
      <c r="AE28" s="549">
        <f t="shared" si="21"/>
        <v>1</v>
      </c>
      <c r="AF28" s="550">
        <f t="shared" si="21"/>
        <v>1</v>
      </c>
      <c r="AG28" s="546"/>
      <c r="AH28" s="547"/>
      <c r="AI28" s="547"/>
      <c r="AJ28" s="547"/>
      <c r="AK28" s="548"/>
      <c r="AL28" s="549">
        <f t="shared" si="21"/>
        <v>1</v>
      </c>
      <c r="AM28" s="550">
        <f t="shared" si="21"/>
        <v>1</v>
      </c>
      <c r="AN28" s="546"/>
      <c r="AO28" s="547"/>
      <c r="AP28" s="547"/>
      <c r="AQ28" s="547"/>
      <c r="AR28" s="548"/>
      <c r="AS28" s="549">
        <f t="shared" si="21"/>
        <v>1</v>
      </c>
      <c r="AT28" s="550">
        <f t="shared" si="21"/>
        <v>1</v>
      </c>
      <c r="AU28" s="578"/>
      <c r="AV28" s="579"/>
      <c r="AW28" s="579"/>
      <c r="AX28" s="579"/>
      <c r="AY28" s="579"/>
      <c r="AZ28" s="579"/>
      <c r="BA28" s="579"/>
      <c r="BB28" s="579"/>
      <c r="BC28" s="579"/>
      <c r="BD28" s="580"/>
      <c r="BE28" s="581"/>
      <c r="BF28" s="581"/>
      <c r="BG28" s="582"/>
      <c r="BH28" s="582"/>
      <c r="BI28" s="582"/>
      <c r="BJ28" s="582"/>
      <c r="BK28" s="582"/>
      <c r="BL28" s="582"/>
      <c r="BM28" s="582"/>
      <c r="BN28" s="582"/>
      <c r="BO28" s="582"/>
      <c r="BP28" s="582"/>
      <c r="BQ28" s="5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intro</vt:lpstr>
      <vt:lpstr>ex1 calcul ETP 1</vt:lpstr>
      <vt:lpstr>ex2 calcul ETP 2</vt:lpstr>
      <vt:lpstr>ex constitution eq</vt:lpstr>
      <vt:lpstr>ex calculs auto rpct</vt:lpstr>
      <vt:lpstr>ex équité</vt:lpstr>
      <vt:lpstr>ex calcul pr grille base</vt:lpstr>
      <vt:lpstr>ex grille base</vt:lpstr>
      <vt:lpstr>ex drlt cycle 1</vt:lpstr>
      <vt:lpstr>ex drlt cycle 2</vt:lpstr>
      <vt:lpstr>ex DA1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2018-03-08T10:33:56Z</dcterms:created>
  <dcterms:modified xsi:type="dcterms:W3CDTF">2021-01-29T10:08:34Z</dcterms:modified>
</cp:coreProperties>
</file>